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ymsmo.sharepoint.com/sites/fejloszt/Megosztott dokumentumok/2021-2027/Strategiai_dokumentumok/ITP/20260202/Vegleges/"/>
    </mc:Choice>
  </mc:AlternateContent>
  <xr:revisionPtr revIDLastSave="10" documentId="13_ncr:1_{1A745AD0-9547-4D0A-BA1B-AB2DBD20EE5C}" xr6:coauthVersionLast="47" xr6:coauthVersionMax="47" xr10:uidLastSave="{1E69E424-B3E1-47C0-80B3-B10674F053EC}"/>
  <bookViews>
    <workbookView xWindow="-120" yWindow="-120" windowWidth="29040" windowHeight="15720" tabRatio="712" xr2:uid="{00000000-000D-0000-FFFF-FFFF00000000}"/>
  </bookViews>
  <sheets>
    <sheet name="1. forrasösszesítő" sheetId="21" r:id="rId1"/>
    <sheet name="2. forrásösszesítő-FVS" sheetId="22" r:id="rId2"/>
    <sheet name="3. forrásösszesítő LHH" sheetId="16" r:id="rId3"/>
    <sheet name="4. intézkedések" sheetId="4" r:id="rId4"/>
    <sheet name="5. Településdifferenciálás" sheetId="17" r:id="rId5"/>
    <sheet name="6. Indikátor - vármegye (2)" sheetId="23" r:id="rId6"/>
    <sheet name="7. Indikátor - Győr" sheetId="18" r:id="rId7"/>
    <sheet name="7. Indikátor - Sopron" sheetId="19" r:id="rId8"/>
    <sheet name="7. Indikátor - Mosonmagyaróvár" sheetId="20" r:id="rId9"/>
    <sheet name=" 8. ütemezés" sheetId="10" r:id="rId10"/>
    <sheet name="Munka1" sheetId="24" r:id="rId11"/>
  </sheets>
  <externalReferences>
    <externalReference r:id="rId12"/>
    <externalReference r:id="rId13"/>
  </externalReferences>
  <definedNames>
    <definedName name="_xlnm._FilterDatabase" localSheetId="4" hidden="1">'5. Településdifferenciálás'!$A$2:$AG$186</definedName>
    <definedName name="_xlnm._FilterDatabase" localSheetId="5" hidden="1">'6. Indikátor - vármegye (2)'!$A$2:$K$58</definedName>
    <definedName name="_xlnm._FilterDatabase" localSheetId="6" hidden="1">'7. Indikátor - Győr'!$A$3:$F$49</definedName>
    <definedName name="_xlnm._FilterDatabase" localSheetId="8" hidden="1">'7. Indikátor - Mosonmagyaróvár'!$A$3:$F$49</definedName>
    <definedName name="_xlnm._FilterDatabase" localSheetId="7" hidden="1">'7. Indikátor - Sopron'!$A$3:$F$49</definedName>
    <definedName name="_xlnm.Print_Titles" localSheetId="9">' 8. ütemezés'!$A:$B,' 8. ütemezés'!$7:$8</definedName>
    <definedName name="_xlnm.Print_Titles" localSheetId="0">'1. forrasösszesítő'!$9:$9</definedName>
    <definedName name="_xlnm.Print_Titles" localSheetId="5">'6. Indikátor - vármegye (2)'!$1:$2</definedName>
    <definedName name="_xlnm.Print_Titles" localSheetId="6">'7. Indikátor - Győr'!$2:$3</definedName>
    <definedName name="_xlnm.Print_Titles" localSheetId="8">'7. Indikátor - Mosonmagyaróvár'!$2:$3</definedName>
    <definedName name="_xlnm.Print_Titles" localSheetId="7">'7. Indikátor - Sopron'!$2:$3</definedName>
    <definedName name="_xlnm.Print_Area" localSheetId="9">' 8. ütemezés'!$A$2:$AF$34</definedName>
    <definedName name="Z_BA39A66F_2AC6_4033_9771_EB339C8851A1_.wvu.Cols" localSheetId="0" hidden="1">'1. forrasösszesítő'!$Q:$XFD</definedName>
    <definedName name="Z_BA39A66F_2AC6_4033_9771_EB339C8851A1_.wvu.PrintArea" localSheetId="0" hidden="1">'1. forrasösszesítő'!$A$6:$O$34</definedName>
    <definedName name="Z_BA39A66F_2AC6_4033_9771_EB339C8851A1_.wvu.PrintTitles" localSheetId="0" hidden="1">'1. forrasösszesítő'!$9:$9</definedName>
    <definedName name="Z_CDDE5582_318E_4169_A2B3_E6801A91775C_.wvu.Cols" localSheetId="0" hidden="1">'1. forrasösszesítő'!$Q:$XFD</definedName>
    <definedName name="Z_CDDE5582_318E_4169_A2B3_E6801A91775C_.wvu.PrintArea" localSheetId="0" hidden="1">'1. forrasösszesítő'!$A$6:$O$34</definedName>
    <definedName name="Z_CDDE5582_318E_4169_A2B3_E6801A91775C_.wvu.PrintTitles" localSheetId="0" hidden="1">'1. forrasösszesítő'!$9:$9</definedName>
  </definedNames>
  <calcPr calcId="191029"/>
  <customWorkbookViews>
    <customWorkbookView name="Vér Ágnes - Egyéni nézet" guid="{BA39A66F-2AC6-4033-9771-EB339C8851A1}" mergeInterval="0" personalView="1" maximized="1" windowWidth="1916" windowHeight="815" tabRatio="331" activeSheetId="1"/>
    <customWorkbookView name="Nagyváradi Tímea - Egyéni nézet" guid="{CDDE5582-318E-4169-A2B3-E6801A91775C}" mergeInterval="0" personalView="1" maximized="1" xWindow="-8" yWindow="-8" windowWidth="1936" windowHeight="1056" tabRatio="331" activeSheetId="8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" i="10" l="1"/>
  <c r="AF15" i="10" s="1"/>
  <c r="C34" i="10"/>
  <c r="AF33" i="10"/>
  <c r="W32" i="10"/>
  <c r="AF29" i="10"/>
  <c r="I25" i="10"/>
  <c r="H25" i="10"/>
  <c r="P23" i="10"/>
  <c r="AF23" i="10"/>
  <c r="P16" i="10"/>
  <c r="H10" i="10"/>
  <c r="AF32" i="10"/>
  <c r="AF11" i="10"/>
  <c r="AF13" i="10"/>
  <c r="AF14" i="10"/>
  <c r="AF17" i="10"/>
  <c r="AF18" i="10"/>
  <c r="AF19" i="10"/>
  <c r="AF21" i="10"/>
  <c r="AF22" i="10"/>
  <c r="AF24" i="10"/>
  <c r="AF26" i="10"/>
  <c r="AF27" i="10"/>
  <c r="AF28" i="10"/>
  <c r="AF30" i="10"/>
  <c r="AF31" i="10"/>
  <c r="AF9" i="10"/>
  <c r="O33" i="10"/>
  <c r="I31" i="10"/>
  <c r="O28" i="10"/>
  <c r="O20" i="10"/>
  <c r="AF20" i="10" s="1"/>
  <c r="F5" i="17"/>
  <c r="F6" i="17"/>
  <c r="F7" i="17"/>
  <c r="F8" i="17"/>
  <c r="F9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F39" i="17"/>
  <c r="F40" i="17"/>
  <c r="F41" i="17"/>
  <c r="F42" i="17"/>
  <c r="F43" i="17"/>
  <c r="F44" i="17"/>
  <c r="F45" i="17"/>
  <c r="F46" i="17"/>
  <c r="F47" i="17"/>
  <c r="F48" i="17"/>
  <c r="F49" i="17"/>
  <c r="F50" i="17"/>
  <c r="F51" i="17"/>
  <c r="F52" i="17"/>
  <c r="F53" i="17"/>
  <c r="F54" i="17"/>
  <c r="F55" i="17"/>
  <c r="F56" i="17"/>
  <c r="F57" i="17"/>
  <c r="F58" i="17"/>
  <c r="F59" i="17"/>
  <c r="F60" i="17"/>
  <c r="F61" i="17"/>
  <c r="F62" i="17"/>
  <c r="F63" i="17"/>
  <c r="F64" i="17"/>
  <c r="F65" i="17"/>
  <c r="F66" i="17"/>
  <c r="F67" i="17"/>
  <c r="F68" i="17"/>
  <c r="F69" i="17"/>
  <c r="F70" i="17"/>
  <c r="F71" i="17"/>
  <c r="F72" i="17"/>
  <c r="F73" i="17"/>
  <c r="F74" i="17"/>
  <c r="F75" i="17"/>
  <c r="F76" i="17"/>
  <c r="F77" i="17"/>
  <c r="F78" i="17"/>
  <c r="F79" i="17"/>
  <c r="F80" i="17"/>
  <c r="F81" i="17"/>
  <c r="F82" i="17"/>
  <c r="F83" i="17"/>
  <c r="F84" i="17"/>
  <c r="F85" i="17"/>
  <c r="F86" i="17"/>
  <c r="F87" i="17"/>
  <c r="F88" i="17"/>
  <c r="F89" i="17"/>
  <c r="F90" i="17"/>
  <c r="F91" i="17"/>
  <c r="F92" i="17"/>
  <c r="F93" i="17"/>
  <c r="F94" i="17"/>
  <c r="F95" i="17"/>
  <c r="F96" i="17"/>
  <c r="F97" i="17"/>
  <c r="F98" i="17"/>
  <c r="F99" i="17"/>
  <c r="F100" i="17"/>
  <c r="F101" i="17"/>
  <c r="F102" i="17"/>
  <c r="F103" i="17"/>
  <c r="F104" i="17"/>
  <c r="F105" i="17"/>
  <c r="F106" i="17"/>
  <c r="F107" i="17"/>
  <c r="F108" i="17"/>
  <c r="F109" i="17"/>
  <c r="F110" i="17"/>
  <c r="F111" i="17"/>
  <c r="F112" i="17"/>
  <c r="F113" i="17"/>
  <c r="F114" i="17"/>
  <c r="F115" i="17"/>
  <c r="F116" i="17"/>
  <c r="F117" i="17"/>
  <c r="F118" i="17"/>
  <c r="F119" i="17"/>
  <c r="F120" i="17"/>
  <c r="F121" i="17"/>
  <c r="F122" i="17"/>
  <c r="F123" i="17"/>
  <c r="F124" i="17"/>
  <c r="F125" i="17"/>
  <c r="F126" i="17"/>
  <c r="F127" i="17"/>
  <c r="F128" i="17"/>
  <c r="F129" i="17"/>
  <c r="F130" i="17"/>
  <c r="F131" i="17"/>
  <c r="F132" i="17"/>
  <c r="F133" i="17"/>
  <c r="F134" i="17"/>
  <c r="F135" i="17"/>
  <c r="F136" i="17"/>
  <c r="F137" i="17"/>
  <c r="F138" i="17"/>
  <c r="F139" i="17"/>
  <c r="F140" i="17"/>
  <c r="F141" i="17"/>
  <c r="F142" i="17"/>
  <c r="F143" i="17"/>
  <c r="F144" i="17"/>
  <c r="F145" i="17"/>
  <c r="F146" i="17"/>
  <c r="F147" i="17"/>
  <c r="F148" i="17"/>
  <c r="F149" i="17"/>
  <c r="F150" i="17"/>
  <c r="F151" i="17"/>
  <c r="F152" i="17"/>
  <c r="F153" i="17"/>
  <c r="F154" i="17"/>
  <c r="F155" i="17"/>
  <c r="F156" i="17"/>
  <c r="F157" i="17"/>
  <c r="F158" i="17"/>
  <c r="F159" i="17"/>
  <c r="F160" i="17"/>
  <c r="F161" i="17"/>
  <c r="F162" i="17"/>
  <c r="F163" i="17"/>
  <c r="F164" i="17"/>
  <c r="F165" i="17"/>
  <c r="F166" i="17"/>
  <c r="F167" i="17"/>
  <c r="F168" i="17"/>
  <c r="F169" i="17"/>
  <c r="F170" i="17"/>
  <c r="F171" i="17"/>
  <c r="F172" i="17"/>
  <c r="F173" i="17"/>
  <c r="F174" i="17"/>
  <c r="F175" i="17"/>
  <c r="F176" i="17"/>
  <c r="F177" i="17"/>
  <c r="F178" i="17"/>
  <c r="F179" i="17"/>
  <c r="F180" i="17"/>
  <c r="F181" i="17"/>
  <c r="F182" i="17"/>
  <c r="F183" i="17"/>
  <c r="F184" i="17"/>
  <c r="F185" i="17"/>
  <c r="F186" i="17"/>
  <c r="F4" i="17"/>
  <c r="I23" i="21"/>
  <c r="L49" i="21"/>
  <c r="AF25" i="10" l="1"/>
  <c r="I6" i="22"/>
  <c r="K6" i="22" s="1"/>
  <c r="J6" i="22"/>
  <c r="C5" i="22"/>
  <c r="K48" i="21" l="1"/>
  <c r="H46" i="21"/>
  <c r="H48" i="21"/>
  <c r="K4" i="22"/>
  <c r="J3" i="22"/>
  <c r="K3" i="22" s="1"/>
  <c r="J4" i="22"/>
  <c r="J5" i="22"/>
  <c r="I3" i="22"/>
  <c r="I4" i="22"/>
  <c r="J7" i="22" l="1"/>
  <c r="C59" i="21"/>
  <c r="K39" i="21" l="1"/>
  <c r="I36" i="21"/>
  <c r="F36" i="21" s="1"/>
  <c r="J36" i="21"/>
  <c r="G5" i="22" l="1"/>
  <c r="I5" i="22" s="1"/>
  <c r="K5" i="22" s="1"/>
  <c r="I17" i="21"/>
  <c r="I12" i="21"/>
  <c r="M49" i="21"/>
  <c r="L48" i="21"/>
  <c r="K46" i="21"/>
  <c r="I39" i="21"/>
  <c r="J39" i="21"/>
  <c r="K17" i="21"/>
  <c r="K12" i="21"/>
  <c r="H17" i="21"/>
  <c r="H12" i="21"/>
  <c r="G50" i="23"/>
  <c r="G18" i="23"/>
  <c r="G15" i="23"/>
  <c r="G14" i="23"/>
  <c r="G11" i="23"/>
  <c r="G5" i="23"/>
  <c r="G3" i="23"/>
  <c r="K23" i="21"/>
  <c r="J23" i="21"/>
  <c r="H23" i="21"/>
  <c r="J12" i="21"/>
  <c r="Q27" i="10"/>
  <c r="P27" i="10"/>
  <c r="H19" i="21" l="1"/>
  <c r="K29" i="21"/>
  <c r="B7" i="22" l="1"/>
  <c r="F20" i="21" s="1"/>
  <c r="C7" i="22"/>
  <c r="F21" i="21" s="1"/>
  <c r="G21" i="21" s="1"/>
  <c r="O21" i="21" s="1"/>
  <c r="D7" i="22"/>
  <c r="F24" i="21" s="1"/>
  <c r="G24" i="21" s="1"/>
  <c r="O24" i="21" s="1"/>
  <c r="E7" i="22"/>
  <c r="F28" i="21" s="1"/>
  <c r="G28" i="21" s="1"/>
  <c r="O28" i="21" s="1"/>
  <c r="F7" i="22"/>
  <c r="F34" i="21" s="1"/>
  <c r="F35" i="21" s="1"/>
  <c r="D34" i="21" s="1"/>
  <c r="B7" i="4" s="1"/>
  <c r="G7" i="22"/>
  <c r="F44" i="21" s="1"/>
  <c r="F45" i="21" s="1"/>
  <c r="D44" i="21" s="1"/>
  <c r="B9" i="4" s="1"/>
  <c r="H7" i="22"/>
  <c r="F51" i="21" s="1"/>
  <c r="G51" i="21" s="1"/>
  <c r="I7" i="22"/>
  <c r="I11" i="22"/>
  <c r="J11" i="22"/>
  <c r="K11" i="22" s="1"/>
  <c r="I12" i="22"/>
  <c r="J12" i="22"/>
  <c r="I13" i="22"/>
  <c r="J13" i="22"/>
  <c r="I14" i="22"/>
  <c r="J14" i="22"/>
  <c r="B15" i="22"/>
  <c r="C15" i="22"/>
  <c r="D15" i="22"/>
  <c r="E15" i="22"/>
  <c r="F15" i="22"/>
  <c r="J15" i="22" s="1"/>
  <c r="G15" i="22"/>
  <c r="H15" i="22"/>
  <c r="B24" i="22"/>
  <c r="C24" i="22"/>
  <c r="D24" i="22"/>
  <c r="E24" i="22"/>
  <c r="O10" i="21"/>
  <c r="F11" i="21"/>
  <c r="D10" i="21" s="1"/>
  <c r="B2" i="4" s="1"/>
  <c r="H11" i="21"/>
  <c r="I11" i="21"/>
  <c r="J11" i="21"/>
  <c r="K11" i="21"/>
  <c r="L11" i="21"/>
  <c r="M11" i="21"/>
  <c r="N11" i="21"/>
  <c r="F12" i="21"/>
  <c r="O12" i="21"/>
  <c r="O16" i="21"/>
  <c r="F17" i="21"/>
  <c r="O17" i="21"/>
  <c r="O18" i="21"/>
  <c r="I19" i="21"/>
  <c r="J19" i="21"/>
  <c r="K19" i="21"/>
  <c r="L19" i="21"/>
  <c r="M19" i="21"/>
  <c r="N19" i="21"/>
  <c r="G20" i="21"/>
  <c r="O20" i="21" s="1"/>
  <c r="F23" i="21"/>
  <c r="O23" i="21"/>
  <c r="O25" i="21"/>
  <c r="F26" i="21"/>
  <c r="O26" i="21"/>
  <c r="O27" i="21"/>
  <c r="H29" i="21"/>
  <c r="I29" i="21"/>
  <c r="J29" i="21"/>
  <c r="L29" i="21"/>
  <c r="M29" i="21"/>
  <c r="N29" i="21"/>
  <c r="F30" i="21"/>
  <c r="O30" i="21"/>
  <c r="F31" i="21"/>
  <c r="O31" i="21"/>
  <c r="F32" i="21"/>
  <c r="O32" i="21"/>
  <c r="H33" i="21"/>
  <c r="I33" i="21"/>
  <c r="J33" i="21"/>
  <c r="K33" i="21"/>
  <c r="L33" i="21"/>
  <c r="M33" i="21"/>
  <c r="N33" i="21"/>
  <c r="O36" i="21"/>
  <c r="O39" i="21"/>
  <c r="O42" i="21"/>
  <c r="F43" i="21"/>
  <c r="D36" i="21" s="1"/>
  <c r="B8" i="4" s="1"/>
  <c r="G43" i="21"/>
  <c r="H43" i="21"/>
  <c r="I43" i="21"/>
  <c r="J43" i="21"/>
  <c r="K43" i="21"/>
  <c r="L43" i="21"/>
  <c r="M43" i="21"/>
  <c r="N43" i="21"/>
  <c r="O46" i="21"/>
  <c r="O47" i="21"/>
  <c r="O48" i="21"/>
  <c r="O49" i="21"/>
  <c r="F50" i="21"/>
  <c r="D46" i="21" s="1"/>
  <c r="H50" i="21"/>
  <c r="I50" i="21"/>
  <c r="J50" i="21"/>
  <c r="K50" i="21"/>
  <c r="L50" i="21"/>
  <c r="M50" i="21"/>
  <c r="N50" i="21"/>
  <c r="B61" i="21"/>
  <c r="C61" i="21"/>
  <c r="D61" i="21"/>
  <c r="I15" i="22" l="1"/>
  <c r="F52" i="21"/>
  <c r="D51" i="21" s="1"/>
  <c r="B11" i="4" s="1"/>
  <c r="F19" i="21"/>
  <c r="D12" i="21" s="1"/>
  <c r="B3" i="4" s="1"/>
  <c r="M53" i="21"/>
  <c r="K12" i="22"/>
  <c r="F33" i="21"/>
  <c r="D30" i="21" s="1"/>
  <c r="B6" i="4" s="1"/>
  <c r="G44" i="21"/>
  <c r="G45" i="21" s="1"/>
  <c r="O45" i="21" s="1"/>
  <c r="G52" i="21"/>
  <c r="O52" i="21" s="1"/>
  <c r="O51" i="21"/>
  <c r="F22" i="21"/>
  <c r="D20" i="21" s="1"/>
  <c r="B4" i="4" s="1"/>
  <c r="J53" i="21"/>
  <c r="I53" i="21"/>
  <c r="O43" i="21"/>
  <c r="O33" i="21"/>
  <c r="N53" i="21"/>
  <c r="B10" i="4"/>
  <c r="L53" i="21"/>
  <c r="G34" i="21"/>
  <c r="G35" i="21" s="1"/>
  <c r="O35" i="21" s="1"/>
  <c r="K53" i="21"/>
  <c r="H53" i="21"/>
  <c r="O11" i="21"/>
  <c r="O50" i="21"/>
  <c r="F29" i="21"/>
  <c r="K14" i="22"/>
  <c r="G22" i="21"/>
  <c r="O22" i="21" s="1"/>
  <c r="K7" i="22"/>
  <c r="O19" i="21"/>
  <c r="E6" i="21"/>
  <c r="K13" i="22"/>
  <c r="D6" i="21"/>
  <c r="B30" i="21"/>
  <c r="G29" i="21"/>
  <c r="O29" i="21" s="1"/>
  <c r="B46" i="21" l="1"/>
  <c r="G6" i="21" s="1"/>
  <c r="O34" i="21"/>
  <c r="O44" i="21"/>
  <c r="B10" i="21"/>
  <c r="B6" i="21" s="1"/>
  <c r="K15" i="22"/>
  <c r="G53" i="21"/>
  <c r="O53" i="21" s="1"/>
  <c r="F53" i="21"/>
  <c r="D23" i="21"/>
  <c r="B23" i="21" s="1"/>
  <c r="C6" i="21" s="1"/>
  <c r="F6" i="21"/>
  <c r="I6" i="21"/>
  <c r="B12" i="16"/>
  <c r="B13" i="16"/>
  <c r="B14" i="16"/>
  <c r="AF16" i="10"/>
  <c r="AF12" i="10"/>
  <c r="AE34" i="10"/>
  <c r="AD34" i="10"/>
  <c r="AC34" i="10"/>
  <c r="AB34" i="10"/>
  <c r="AA34" i="10"/>
  <c r="Z34" i="10"/>
  <c r="Y34" i="10"/>
  <c r="X34" i="10"/>
  <c r="W34" i="10"/>
  <c r="V34" i="10"/>
  <c r="U34" i="10"/>
  <c r="T34" i="10"/>
  <c r="S34" i="10"/>
  <c r="R34" i="10"/>
  <c r="Q34" i="10"/>
  <c r="P34" i="10"/>
  <c r="N34" i="10"/>
  <c r="M34" i="10"/>
  <c r="L34" i="10"/>
  <c r="K34" i="10"/>
  <c r="G34" i="10"/>
  <c r="F34" i="10"/>
  <c r="E34" i="10"/>
  <c r="D34" i="10"/>
  <c r="I34" i="10" l="1"/>
  <c r="AF10" i="10"/>
  <c r="AF34" i="10" s="1"/>
  <c r="H34" i="10"/>
  <c r="O34" i="10"/>
  <c r="H6" i="21"/>
  <c r="J6" i="21" s="1"/>
  <c r="B5" i="4"/>
  <c r="B12" i="4" s="1"/>
  <c r="J34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Kovács-Nagy Rita</author>
  </authors>
  <commentList>
    <comment ref="C7" authorId="0" shapeId="0" xr:uid="{EC2F4400-03DA-43D7-8505-AFEF5298A314}">
      <text>
        <r>
          <rPr>
            <b/>
            <sz val="9"/>
            <color indexed="81"/>
            <rFont val="Tahoma"/>
            <family val="2"/>
            <charset val="238"/>
          </rPr>
          <t>Kovács-Nagy Rita:</t>
        </r>
        <r>
          <rPr>
            <sz val="9"/>
            <color indexed="81"/>
            <rFont val="Tahoma"/>
            <family val="2"/>
            <charset val="238"/>
          </rPr>
          <t xml:space="preserve">
Ebben az oszlopban szereplő számok legyenek összhangban az első munkafüzetfülön a forrásallokáció F oszlopűban szereplő számokkal </t>
        </r>
      </text>
    </comment>
  </commentList>
</comments>
</file>

<file path=xl/sharedStrings.xml><?xml version="1.0" encoding="utf-8"?>
<sst xmlns="http://schemas.openxmlformats.org/spreadsheetml/2006/main" count="2472" uniqueCount="714">
  <si>
    <t>Prioritás</t>
  </si>
  <si>
    <t>1.2 Településfejlesztés, települési szolgáltatások</t>
  </si>
  <si>
    <t>1.2.1 Élhető települések</t>
  </si>
  <si>
    <t>3.1 Megyei és térségi fejlesztések (ESZA+ elemei)</t>
  </si>
  <si>
    <t>3. 2 Fenntartható városfejlesztés (ESZA+ elemei)</t>
  </si>
  <si>
    <t>Csapadékvíz</t>
  </si>
  <si>
    <t>Kerékpárút</t>
  </si>
  <si>
    <t>Egészégügyi alap-és szakrendelés</t>
  </si>
  <si>
    <t>Szociális alapszolgáltatás</t>
  </si>
  <si>
    <t>Óvodai fejlesztés</t>
  </si>
  <si>
    <t>Felhívás</t>
  </si>
  <si>
    <t>Tervezési tábla</t>
  </si>
  <si>
    <t>Ebből: Zöld infrastruktúra fejlesztése</t>
  </si>
  <si>
    <t>1.2.3 Belterületi utak fejlesztése</t>
  </si>
  <si>
    <t>3.3.1 Gyermeknevelést támogató humán infrastruktúra fejlesztése</t>
  </si>
  <si>
    <t>3.3.2 Helyi egészségügyi és szociális infrastruktúra fejlesztése</t>
  </si>
  <si>
    <t>3.3 Helyi és térségi közszolgáltatások (ERFA)</t>
  </si>
  <si>
    <t>1.3 Fenntartható városfejlesztés</t>
  </si>
  <si>
    <t>1.3.1 Fenntartható városfejlesztési stratégiák támogatása</t>
  </si>
  <si>
    <t>2.1.1 Önkormányzati épületek energetikai korszerűsítése</t>
  </si>
  <si>
    <t>2.1.2 Fenntartható energiahatékonyság</t>
  </si>
  <si>
    <t>3.1.1 Megyei foglalkoztatási-gazdaságfejlesztési együttműködések</t>
  </si>
  <si>
    <t>3.1.3 Helyi humán fejlesztések</t>
  </si>
  <si>
    <t>3.2.1 Fenntartható humán fejlesztések</t>
  </si>
  <si>
    <t xml:space="preserve">Intézkedés </t>
  </si>
  <si>
    <t>1.1 összesen</t>
  </si>
  <si>
    <t>1.2 összesen:</t>
  </si>
  <si>
    <t>1.3 összesen</t>
  </si>
  <si>
    <t>2.1 összesen</t>
  </si>
  <si>
    <t>3.1 összesen</t>
  </si>
  <si>
    <t>3.2 összesen</t>
  </si>
  <si>
    <t>3.3 összesen:</t>
  </si>
  <si>
    <t>Alapadattábla (Nem módosítható)</t>
  </si>
  <si>
    <t>1. prioritás keretösszege 
(Ft)</t>
  </si>
  <si>
    <t>2. prioritás keretösszege (Ft)</t>
  </si>
  <si>
    <t>Intézkedés forráskerete (Ft)</t>
  </si>
  <si>
    <t>Felhívás/Tématerület forráskerete (Ft)</t>
  </si>
  <si>
    <t xml:space="preserve"> Fenntartható városfejlesztés forrásfelhasználási mód keretösszege (Ft)</t>
  </si>
  <si>
    <t>Forrásfelhasználási módok  keretösszege összesen  (Ft) 
(Meg kell egyeznie az "F" oszlop adataival)</t>
  </si>
  <si>
    <t>Bölcsődei fejlesztés</t>
  </si>
  <si>
    <t>1.1 Klímatudatosság, éghajlatváltozáshoz való alkalmazkodás</t>
  </si>
  <si>
    <t>1.1.1 Klímatudatosság, éghajlatváltozáshoz való alkalmazkodás</t>
  </si>
  <si>
    <t>1.2.2 Szociális célú városrehabilitáció (ERFA)</t>
  </si>
  <si>
    <t xml:space="preserve">1.3.2 Fenntartható városfejlesztés </t>
  </si>
  <si>
    <t>2.1.3 Önkormányzati épületek energetikai korszerűsítése (kombinált)</t>
  </si>
  <si>
    <t>2.1.4 Fenntartható energiahatékonyság (kombinált)</t>
  </si>
  <si>
    <t>3.1.2 Szociális célú várorehabilitáció (ESZA+)</t>
  </si>
  <si>
    <t>3.4 Fenntartható humán infrastruktúra (ERFA)</t>
  </si>
  <si>
    <t>Prioritás keretösszege (Ft)</t>
  </si>
  <si>
    <t>3.3.3 Köznevelési infrastruktúra fejlesztése</t>
  </si>
  <si>
    <t>3.4.1 Fenntartható humán infrastruktúra</t>
  </si>
  <si>
    <t>3.4 összesen</t>
  </si>
  <si>
    <t>6.1 Helyi gazdaságfejlesztés</t>
  </si>
  <si>
    <t>6.1.1 Helyi gazdaságfejelsztés</t>
  </si>
  <si>
    <t>6.1.2 4 és 5 számjegyű utak fejlesztése</t>
  </si>
  <si>
    <t>6.1.3 Helyi és térségi turizmusfejlesztés</t>
  </si>
  <si>
    <t>6.1.4 Aktív turizmus fejlesztése</t>
  </si>
  <si>
    <t>6.1 összesen</t>
  </si>
  <si>
    <t>6.2 Fenntartható versenyképes városfejlesztés</t>
  </si>
  <si>
    <t>6.2.1 Fenntartható versenyképes városfejlesztés</t>
  </si>
  <si>
    <t>6.2 összesen</t>
  </si>
  <si>
    <t>1.2.4 Szegregált városi területekről integrált területekre költözés támogatása (PILOT)</t>
  </si>
  <si>
    <t>Fejlesztési cél - aktív turizmus fejlesztése forrásfelhasználási mód keretösszege (Ft)</t>
  </si>
  <si>
    <t>Összesen</t>
  </si>
  <si>
    <t>TOP Plusz intézkedések</t>
  </si>
  <si>
    <t>Fenntartható város</t>
  </si>
  <si>
    <t>2.1.2 Fenntartható energiahatékonyság (Ft)</t>
  </si>
  <si>
    <t>3.2.1 Fenntartható humán fejlesztések (Ft)</t>
  </si>
  <si>
    <t>Fenntartható ERFA összesen (Ft)</t>
  </si>
  <si>
    <t>Fenntartható ESZA összesen (Ft)</t>
  </si>
  <si>
    <t>Fenntartható összesen (Ft)</t>
  </si>
  <si>
    <t>1.3.2 Fenntartható városfejlesztés (Ft)</t>
  </si>
  <si>
    <t>1.3.1 Fenntartható városfejlesztési stratégiák támogatása (Ft)</t>
  </si>
  <si>
    <t xml:space="preserve"> 3.4.1 Fenntartható humán infrastruktúra  (Ft)</t>
  </si>
  <si>
    <t>6.2.1 Fenntartható versenyképes városfejlesztés (Ft)</t>
  </si>
  <si>
    <t>BIZTONSÁGI HÁLÓ</t>
  </si>
  <si>
    <t>7 éves keret (350Ft/EUR árfolyamon)</t>
  </si>
  <si>
    <t>3. prioritás keretösszege (ESZA+) (Ft)</t>
  </si>
  <si>
    <t>3. prioritás keretösszege (ERFA) (Ft)</t>
  </si>
  <si>
    <t>3. prioritás keretösszege (összesen) (Ft)</t>
  </si>
  <si>
    <t>6. prioritás (Ft)</t>
  </si>
  <si>
    <t xml:space="preserve">Vármegye: </t>
  </si>
  <si>
    <t>vármegye</t>
  </si>
  <si>
    <t xml:space="preserve">1. PRIORITÁS: ÉLHETŐ VÁRMEGYE </t>
  </si>
  <si>
    <t>2. PRIORITÁS: KLÍMABARÁT VÁRMEGYE</t>
  </si>
  <si>
    <t>3. PRIORITÁS: GONDOSKODÓ VÁRMEGYE</t>
  </si>
  <si>
    <t>6. PRIORITÁS: VERSENYKÉPES VÁRMEGYE</t>
  </si>
  <si>
    <t>2.1 Klímabarát vármegye</t>
  </si>
  <si>
    <t>3.1 Vármegyei és térségi fejlesztések (ESZA+ elemei)</t>
  </si>
  <si>
    <t>Vármegyei ERFA összesen (Ft)</t>
  </si>
  <si>
    <t>Vármegyei ESZA összesen (Ft)</t>
  </si>
  <si>
    <t>Vármegyei keretösszeg összesen (Ft)</t>
  </si>
  <si>
    <t xml:space="preserve">ÜTEMEZÉS  </t>
  </si>
  <si>
    <t xml:space="preserve">Vármegye neve: </t>
  </si>
  <si>
    <t xml:space="preserve">Prioritás </t>
  </si>
  <si>
    <t>Felhívások</t>
  </si>
  <si>
    <t>Összes forrás (forint) (C=AF)</t>
  </si>
  <si>
    <t>1né</t>
  </si>
  <si>
    <t>2.né</t>
  </si>
  <si>
    <t>3.né</t>
  </si>
  <si>
    <t>4.né</t>
  </si>
  <si>
    <t>1.2.2 Szociális  célú városrehabilitáció (ERFA)</t>
  </si>
  <si>
    <t xml:space="preserve">2. PRIORITÁS: KLÍMABARÁT VÁRMEGYE </t>
  </si>
  <si>
    <t>3.1.2 Szociális  célú várorehabilitáció (ESZA+)</t>
  </si>
  <si>
    <t>Prioritási tengely</t>
  </si>
  <si>
    <t>Indikátor</t>
  </si>
  <si>
    <t>Mértékegység</t>
  </si>
  <si>
    <t>Mérföldkő 2024</t>
  </si>
  <si>
    <t>Forrásarányos célérték (2024)</t>
  </si>
  <si>
    <t>Megye általá vállalt mérföldkő (2024)</t>
  </si>
  <si>
    <t>Célérték 2029</t>
  </si>
  <si>
    <t>Forrásarányos célérték (2029)</t>
  </si>
  <si>
    <t>Megye által vállalt célérték (2029)</t>
  </si>
  <si>
    <t>Azonosító</t>
  </si>
  <si>
    <t>Megnevezés</t>
  </si>
  <si>
    <t>TOP_Plusz-1</t>
  </si>
  <si>
    <t>RCO26</t>
  </si>
  <si>
    <t>Az éghajlatváltozáshoz való alkalmazkodás céljából épített vagy felújított zöld infrastruktúra</t>
  </si>
  <si>
    <t>ha</t>
  </si>
  <si>
    <t>RCR35</t>
  </si>
  <si>
    <t>Árvízvédelmi intézkedésekkel érintett lakosság</t>
  </si>
  <si>
    <t>fő</t>
  </si>
  <si>
    <t>RCO58</t>
  </si>
  <si>
    <t>Támogatott célzott kerékpáros infrastruktúra</t>
  </si>
  <si>
    <t>km</t>
  </si>
  <si>
    <t>RCR64</t>
  </si>
  <si>
    <t>A célzott kerékpáros infrastruktúra éves felhasználói</t>
  </si>
  <si>
    <t>fő/év</t>
  </si>
  <si>
    <t>TPO08</t>
  </si>
  <si>
    <t>A rehabilitált talaj összkiterjedése</t>
  </si>
  <si>
    <t>TPO10</t>
  </si>
  <si>
    <t>Kialakított új, forgalomcsillapított övezetek száma</t>
  </si>
  <si>
    <t>db</t>
  </si>
  <si>
    <t>TPO11</t>
  </si>
  <si>
    <t>Fejlesztéssel érintett közösségi területek nagysága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</si>
  <si>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</si>
  <si>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TPO12</t>
  </si>
  <si>
    <t>Megvalósított megyei szemléletformáló és tudatosságnövelő programok száma</t>
  </si>
  <si>
    <t>TPO35</t>
  </si>
  <si>
    <t>Bel- és csapadék-vízvédelmi létesítmények hossza</t>
  </si>
  <si>
    <t>m</t>
  </si>
  <si>
    <t>RCO65</t>
  </si>
  <si>
    <t>Az új vagy korszerűsített szociális lakások kapacitása</t>
  </si>
  <si>
    <t>TPR09</t>
  </si>
  <si>
    <t>A projekt keretében integrált területre költözők száma</t>
  </si>
  <si>
    <t>RCO46</t>
  </si>
  <si>
    <t>Átépített vagy korszerszerűsített közutak hossza – nem TEN-T</t>
  </si>
  <si>
    <t>TOP_Plusz-2</t>
  </si>
  <si>
    <t>RCO19</t>
  </si>
  <si>
    <t>Jobb energiahatékonyságú középületek</t>
  </si>
  <si>
    <t>RCR26</t>
  </si>
  <si>
    <t>Éves primerenergia-fogyasztás</t>
  </si>
  <si>
    <t>MWh/év</t>
  </si>
  <si>
    <t>RCR29</t>
  </si>
  <si>
    <t>Becsült üvegházhatásúgáz-kibocsátások</t>
  </si>
  <si>
    <r>
      <t>CO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t/év</t>
    </r>
  </si>
  <si>
    <t>RCO22</t>
  </si>
  <si>
    <t>Megújuló energiát előállító addicionális termelőkapacitás (ebből: villamos energia, hőenergia)</t>
  </si>
  <si>
    <t>MW</t>
  </si>
  <si>
    <t>RCR31</t>
  </si>
  <si>
    <t>Összes előállított megújuló energia (ebből: villamos energia, hőenergia)</t>
  </si>
  <si>
    <t>TPO09</t>
  </si>
  <si>
    <t>Fejlesztéssel érintett fürdők száma</t>
  </si>
  <si>
    <t>TOP_Plusz-3</t>
  </si>
  <si>
    <t>TPO05</t>
  </si>
  <si>
    <t>Programban résztvevő munkanélküliek száma</t>
  </si>
  <si>
    <t>TPO06</t>
  </si>
  <si>
    <t>Programban résztvevő inaktív személyek száma</t>
  </si>
  <si>
    <t>TPO23</t>
  </si>
  <si>
    <t>Munkaerőpiaci alkalmazkodást segítő támogatásban részesülők száma</t>
  </si>
  <si>
    <t>TPO24</t>
  </si>
  <si>
    <t>Foglalkoztatást elősegítő szolgáltatásokban és tevékenységekben résztvevők száma</t>
  </si>
  <si>
    <t>TPR02</t>
  </si>
  <si>
    <t>Program elhagyásának időpontjában foglalkoztatásban – beleértve az önfoglalkoztatást – álló résztvevők száma</t>
  </si>
  <si>
    <t>nem releváns</t>
  </si>
  <si>
    <t>TPO13</t>
  </si>
  <si>
    <t>Hátrányos helyzetűeket célzó programok száma</t>
  </si>
  <si>
    <t>TPO25</t>
  </si>
  <si>
    <t>Fejlesztéssel érintett akcióterület száma</t>
  </si>
  <si>
    <t>TPR05</t>
  </si>
  <si>
    <t>A programokkal elért hátrányos helyzetű személyek száma</t>
  </si>
  <si>
    <t>TPR15</t>
  </si>
  <si>
    <t>Program eredményként integrált területre költözők száma</t>
  </si>
  <si>
    <t>TPO14</t>
  </si>
  <si>
    <t>Egyéb, nem közösségi célú programok száma</t>
  </si>
  <si>
    <t>TPR10</t>
  </si>
  <si>
    <t>Azon települések száma, ahol javult a foglalkoztatáshoz, oktatáshoz, egészségügyhöz, szociális és/vagy lakhatási szolgáltatásokhoz való hozzáférés</t>
  </si>
  <si>
    <t>TPO26</t>
  </si>
  <si>
    <t>Fejlesztett, 0-3 éves gyermekek elhelyezését biztosító férőhelyek száma</t>
  </si>
  <si>
    <t>TPO27</t>
  </si>
  <si>
    <t>Újonnan létrehozott, 0-3 éves gyermekek elhelyezését biztosító férőhelyek száma</t>
  </si>
  <si>
    <t>TPO28</t>
  </si>
  <si>
    <t>Fejlesztett, 3-6 éves gyermekek elhelyezését biztosító férőhelyek száma</t>
  </si>
  <si>
    <t>TPO29</t>
  </si>
  <si>
    <t>Újonnan létrehozott, 3-6 éves gyermekek elhelyezését biztosító férőhelyek száma</t>
  </si>
  <si>
    <t>RCR70</t>
  </si>
  <si>
    <t>Az új vagy korszerűsített gyermekgondozási létesítmények éves felhasználói</t>
  </si>
  <si>
    <t>TPR11</t>
  </si>
  <si>
    <t>Újonnan létrehozott bölcsődei ellátással rendelkező települések száma (ahol 2020.12.31-én nem működött bölcsődei szolgáltatás)</t>
  </si>
  <si>
    <t>TPR12</t>
  </si>
  <si>
    <t>Fejlesztett óvodai ellátással rendelkező települések száma</t>
  </si>
  <si>
    <t>TPO01</t>
  </si>
  <si>
    <t>Fejlesztéssel érintett egészségügyi alapellátást nyújtó szolgálatok (benne: háziorvos, házi gyermekorvos, fogorvosi, védőnői szolgálat és kapcsolódó ügyeleti ellátás, iskola-egészségügyi ellátás) száma</t>
  </si>
  <si>
    <t>RCR73</t>
  </si>
  <si>
    <t>Az új vagy korszerűsített egészségügyi ellátó létesítmények éves felhasználói</t>
  </si>
  <si>
    <t>TPO02</t>
  </si>
  <si>
    <t>A fejlesztés révén létrejövő, megújuló szociális alapszolgáltatások és gyermekjóléti alapellátások száma</t>
  </si>
  <si>
    <t>TPR13</t>
  </si>
  <si>
    <t>Fejlesztett egészségügyi szolgáltatásokkal rendelkező települések száma</t>
  </si>
  <si>
    <t>TPR14</t>
  </si>
  <si>
    <t>Újonnan létrehozott vagy férőhelybővítéssel érintett szociális alapszolgáltatásokkal és gyermekjóléti alapellátásokkal rendelkező települések száma</t>
  </si>
  <si>
    <t>RCO67</t>
  </si>
  <si>
    <t>Az új vagy korszerűsített oktatási létesítmények osztálytermi kapacitása</t>
  </si>
  <si>
    <t>TPO30</t>
  </si>
  <si>
    <t>Korszerűsített köznevelési intézmények száma</t>
  </si>
  <si>
    <t>TPO31</t>
  </si>
  <si>
    <t>Korszerűsített kollégiumok száma</t>
  </si>
  <si>
    <t>RCR71</t>
  </si>
  <si>
    <t>Az új vagy korszerűsített oktatási létesítmények éves felhasználói</t>
  </si>
  <si>
    <t>TOP_Plusz-6</t>
  </si>
  <si>
    <t>RCO04</t>
  </si>
  <si>
    <t>Nem pénzügyi támogatásban részesített vállalkozások</t>
  </si>
  <si>
    <t>TPO07</t>
  </si>
  <si>
    <t>Támogatásban részesülő önkormányzati tulajdonú vállalkozások száma</t>
  </si>
  <si>
    <t>TPO32</t>
  </si>
  <si>
    <t>Közétkeztetési fejlesztések száma</t>
  </si>
  <si>
    <t>Átépített vagy korszerűsített közutak hossza – nem TEN-T</t>
  </si>
  <si>
    <t>RCO77</t>
  </si>
  <si>
    <t>Támogatott kulturális és turisztikai helyszínek száma</t>
  </si>
  <si>
    <t>TPO34</t>
  </si>
  <si>
    <t>Turisztikai fejlesztéssel érintett nemzeti parkok, geoparkok, natúrparkok száma</t>
  </si>
  <si>
    <t>RCO74</t>
  </si>
  <si>
    <t>Az integrált területfejlesztési stratégiák keretébe tartozó projektek által érintett lakosság</t>
  </si>
  <si>
    <t>RCO75</t>
  </si>
  <si>
    <t>Támogatott integrált területfejlesztési stratégiák</t>
  </si>
  <si>
    <t>Vármegye forráskerete (forint) (B5=C33=AF33):</t>
  </si>
  <si>
    <t>Fejlesztési cél - Vármegye által kijelölt (nem FVS) városok fejlesztése forrásfelhasználási mód*</t>
  </si>
  <si>
    <t>*Kizárólag Csongrád-Csanád, Fejér, Pest és Tolna vármegye esetén szükséges kitölteni.</t>
  </si>
  <si>
    <t>Vármegyei keretösszeg összesen (1086/2022. (II. 23.) Korm. határozat alapján) (Ft) (B2=J6):</t>
  </si>
  <si>
    <t>Fejlesztési célterület
FT1 - Pannonhalma-Sokoró-Bakonyalja fejlesztési térség
(Ft)</t>
  </si>
  <si>
    <t>Fejlesztési célterület
FT2 - Alpokalja-Fertő táj fejlesztési térség 
(Ft)</t>
  </si>
  <si>
    <t>Fejlesztési célterület
FT3 - Szigetköz-Mosoni sík fejlesztési térség
(Ft)</t>
  </si>
  <si>
    <t>Fejlesztési célterület
FT4 - Kapuvár-Csorna-Tét fejlesztési térség
(Ft)</t>
  </si>
  <si>
    <t>Mosonmagyaróvár</t>
  </si>
  <si>
    <t>Győr</t>
  </si>
  <si>
    <t>Sopron</t>
  </si>
  <si>
    <t>Győr-Moson-Sopron</t>
  </si>
  <si>
    <t>A program a 36 komplex programmal fejlesztendő járás területén megvalósuló beruházások támogatására fordítja a helyi egészségügyi és szociális infrastruktúra fejlesztésére tervezett, TOP Plusz keretösszeg legalább 15%-át.</t>
  </si>
  <si>
    <t>A program a 36 komplex programmal fejlesztendő járás területén megvalósuló beruházások támogatására fordítja az alap- és középfokú köznevelési intézmények fejlesztésére tervezett, TOP Plusz keretösszeg legalább 15%-át.</t>
  </si>
  <si>
    <t>A vármegyékre jutó indikatív forráskeretének legalább 10%-át a komplex programmal fejlesztendő járásokra (36 LHH járás) szükséges irányítani.</t>
  </si>
  <si>
    <t>Vármegye által tervezett (%)</t>
  </si>
  <si>
    <t>Vármegye által tervezett (Ft)</t>
  </si>
  <si>
    <t>Vármegyétől javasolt OP alapján (Ft)</t>
  </si>
  <si>
    <t>Korlátozó feltétel OP alapján:</t>
  </si>
  <si>
    <t>LHH-ra tervezett  keretösszeg összesen (Ft)</t>
  </si>
  <si>
    <t>LHH-ra tervezett ESZA+ keretösszeg összesen (Ft)</t>
  </si>
  <si>
    <t>LHH-ra tervezett ERFA keretösszeg összesen (Ft)</t>
  </si>
  <si>
    <t>6.  prioritásra tervezett keretösszeg (Ft)</t>
  </si>
  <si>
    <t>3.  prioritásra tervezett keretösszeg (összesen) (Ft)</t>
  </si>
  <si>
    <t>3.  prioritásra tervezett keretösszeg (ERFA) (Ft)</t>
  </si>
  <si>
    <t>3.  prioritásra tervezett keretösszeg (ESZA+) (Ft)</t>
  </si>
  <si>
    <t>2.  prioritásra tervezett keretösszeg (Ft)</t>
  </si>
  <si>
    <t>1. prioritásra tervezett keretösszeg
(Ft)</t>
  </si>
  <si>
    <t>LHH térség megnevezése</t>
  </si>
  <si>
    <t>A cellákba (Ismérv) kizárólag azok az egyedi szempontok kerülhetnek, amelyeket a vármegy korábban már az ITP-ben rögzített.  Új településdiffrenciálási szempont meghatározására nincs lehetőség.</t>
  </si>
  <si>
    <t>27.</t>
  </si>
  <si>
    <t>26.</t>
  </si>
  <si>
    <t>25.</t>
  </si>
  <si>
    <t>24.</t>
  </si>
  <si>
    <t>23.</t>
  </si>
  <si>
    <t>22.</t>
  </si>
  <si>
    <t>21.</t>
  </si>
  <si>
    <t>20.</t>
  </si>
  <si>
    <t>19.</t>
  </si>
  <si>
    <t>18.</t>
  </si>
  <si>
    <t>17.</t>
  </si>
  <si>
    <t>16.</t>
  </si>
  <si>
    <t>15.</t>
  </si>
  <si>
    <t>14.</t>
  </si>
  <si>
    <t>13.</t>
  </si>
  <si>
    <t>12.</t>
  </si>
  <si>
    <t>11.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</si>
  <si>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</si>
  <si>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</si>
  <si>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</si>
  <si>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</si>
  <si>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</si>
  <si>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</si>
  <si>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</si>
  <si>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</si>
  <si>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</si>
  <si>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</si>
  <si>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Komplex programmal fejlesztendő járás (3),
Fejlesztendő járás (2),
Kedvezményezett járás (1),
Nem sorolt (0)</t>
  </si>
  <si>
    <t>290/2014.(XI.26.) Korm.rendelet szerint</t>
  </si>
  <si>
    <t>Forrásfelhasználási mód kódszáma</t>
  </si>
  <si>
    <t>Forrásfelhasználási mód megnevezése</t>
  </si>
  <si>
    <t xml:space="preserve">Település mérete 5000 fő alatti (0), 5000 fő feletti (1) </t>
  </si>
  <si>
    <t>Járás megnevezése</t>
  </si>
  <si>
    <t>Település jogállása</t>
  </si>
  <si>
    <t>Település lakosságszáma (fő)</t>
  </si>
  <si>
    <t>Település megnevezése</t>
  </si>
  <si>
    <t>Ssz.</t>
  </si>
  <si>
    <t>Vármegye megnevezése</t>
  </si>
  <si>
    <t>Város által a TVP-ben vállalt célérték (2029)</t>
  </si>
  <si>
    <t>Becsült üvegházhatásúgáz-kibocsátás</t>
  </si>
  <si>
    <t>Győr Megyei Jogú Város Önkormányzata</t>
  </si>
  <si>
    <t>NR</t>
  </si>
  <si>
    <t>Sopron Megyei Jogú Város Önkormányzata</t>
  </si>
  <si>
    <t>Mosonmagyaróvár Város Önkormányzata</t>
  </si>
  <si>
    <t>* szükség szerint bővíthető az ffm-ek száma</t>
  </si>
  <si>
    <t>2.1.4 Önkormányzati épületek energetikai korszerűsítése (kombinált)</t>
  </si>
  <si>
    <t>Forrásfelhasználáis módok szerinti megbontás*</t>
  </si>
  <si>
    <t>Ebből: Fürdő/gyógyfürdő energetikai fejlesztésére tervezett forrás (Ft)</t>
  </si>
  <si>
    <t>Témerületre allokált forrás bemutatása:</t>
  </si>
  <si>
    <t>2.1.6 Fenntartható energiahatékonyság (kombinált)</t>
  </si>
  <si>
    <t>2.1.5 Fenntartható energiahatékonyság (kombinált- projektelőkészítés)</t>
  </si>
  <si>
    <t>2.1.3 Önkormányzati épületek energetikai korszerűsítése (kombinált- projektelőkészítés)</t>
  </si>
  <si>
    <t>Kiemelt kedvezményezett (Magyar Közút, Vármegyei Önkormányzat, Tankerületi Központok) forrásfelhasználási mód
keretösszege (Ft)</t>
  </si>
  <si>
    <t>Fejlesztési célterület FT1 - Alpokalja-Fertő táj fejlesztési térség</t>
  </si>
  <si>
    <t>Fejlesztési célterület FT4 - Kapuvár-Csorna-Tét fejlesztési térség</t>
  </si>
  <si>
    <t>* Bővíthető a táblázat, amennyiben további tématerületi allokáció rögzítésére van szükség.</t>
  </si>
  <si>
    <t>Ebből: 4-5 számjegyű utak fejlesztésére tervezett forrás (Ft)</t>
  </si>
  <si>
    <t>Ebből: Pedagógiai Szakszolgálat fejlesztésére tervezett forrás (Ft)</t>
  </si>
  <si>
    <t>Ebből: Állami alap- és középfokú köznevelési intézmények, illetve kollégiumok fejlesztésére tervezett forrás (Ft)</t>
  </si>
  <si>
    <t>2.1.6 Fenntartható energiahatékony-ság (kombinált)</t>
  </si>
  <si>
    <t>Témerületre allokált forrás bemutatása*:</t>
  </si>
  <si>
    <t>Győr-Moson-Sopron vármegye</t>
  </si>
  <si>
    <t>törölt indikátor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</si>
  <si>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</si>
  <si>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</si>
  <si>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</si>
  <si>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</si>
  <si>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</si>
  <si>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</si>
  <si>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</si>
  <si>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</si>
  <si>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</si>
  <si>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</si>
  <si>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</si>
  <si>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</si>
  <si>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</si>
  <si>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</si>
  <si>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</si>
  <si>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</si>
  <si>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</si>
  <si>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</si>
  <si>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</si>
  <si>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</si>
  <si>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</si>
  <si>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</si>
  <si>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</si>
  <si>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</si>
  <si>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</si>
  <si>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</si>
  <si>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</si>
  <si>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</si>
  <si>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</si>
  <si>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</si>
  <si>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</si>
  <si>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</si>
  <si>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</si>
  <si>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</si>
  <si>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</si>
  <si>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</si>
  <si>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</si>
  <si>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</si>
  <si>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</si>
  <si>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</si>
  <si>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</si>
  <si>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</si>
  <si>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</si>
  <si>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</si>
  <si>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</si>
  <si>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</si>
  <si>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</si>
  <si>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</si>
  <si>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</si>
  <si>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</si>
  <si>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</si>
  <si>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</si>
  <si>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</si>
  <si>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</si>
  <si>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</si>
  <si>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</si>
  <si>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</si>
  <si>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</si>
  <si>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</si>
  <si>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</si>
  <si>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</si>
  <si>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</si>
  <si>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</si>
  <si>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</si>
  <si>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</si>
  <si>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</si>
  <si>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</si>
  <si>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</si>
  <si>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</si>
  <si>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</si>
  <si>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</si>
  <si>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</si>
  <si>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</si>
  <si>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</si>
  <si>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</si>
  <si>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</si>
  <si>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</si>
  <si>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</si>
  <si>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</si>
  <si>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</si>
  <si>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</si>
  <si>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</si>
  <si>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</si>
  <si>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</si>
  <si>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</si>
  <si>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</si>
  <si>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</si>
  <si>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</si>
  <si>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</si>
  <si>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</si>
  <si>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</si>
  <si>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</si>
  <si>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</si>
  <si>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</si>
  <si>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</si>
  <si>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</si>
  <si>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</si>
  <si>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</si>
  <si>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</si>
  <si>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</si>
  <si>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</si>
  <si>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</si>
  <si>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</si>
  <si>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</si>
  <si>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</si>
  <si>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</si>
  <si>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</si>
  <si>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</si>
  <si>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</si>
  <si>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</si>
  <si>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</si>
  <si>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</si>
  <si>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</si>
  <si>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</si>
  <si>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</si>
  <si>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</si>
  <si>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</si>
  <si>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</si>
  <si>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</si>
  <si>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</si>
  <si>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</si>
  <si>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</si>
  <si>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</si>
  <si>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</si>
  <si>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</si>
  <si>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</si>
  <si>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</si>
  <si>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</si>
  <si>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</si>
  <si>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</si>
  <si>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</si>
  <si>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</si>
  <si>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</si>
  <si>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</si>
  <si>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</si>
  <si>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</si>
  <si>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</si>
  <si>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</si>
  <si>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</si>
  <si>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</si>
  <si>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</si>
  <si>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</si>
  <si>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</si>
  <si>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</si>
  <si>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</si>
  <si>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</si>
  <si>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</si>
  <si>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</si>
  <si>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</si>
  <si>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</si>
  <si>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</si>
  <si>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</si>
  <si>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</si>
  <si>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</si>
  <si>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</si>
  <si>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</si>
  <si>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Abda</t>
  </si>
  <si>
    <t>Acsalag</t>
  </si>
  <si>
    <t>Ágfalva</t>
  </si>
  <si>
    <t>Agyagosszergény</t>
  </si>
  <si>
    <t>Árpás</t>
  </si>
  <si>
    <t>Ásványráró</t>
  </si>
  <si>
    <t>Babót</t>
  </si>
  <si>
    <t>Bágyogszovát</t>
  </si>
  <si>
    <t>Bakonygyirót</t>
  </si>
  <si>
    <t>Bakonypéterd</t>
  </si>
  <si>
    <t>Bakonyszentlászló</t>
  </si>
  <si>
    <t>Barbacs</t>
  </si>
  <si>
    <t>Beled</t>
  </si>
  <si>
    <t>Bezenye</t>
  </si>
  <si>
    <t>Bezi</t>
  </si>
  <si>
    <t>Bodonhely</t>
  </si>
  <si>
    <t>Bogyoszló</t>
  </si>
  <si>
    <t>Bőny</t>
  </si>
  <si>
    <t>Börcs</t>
  </si>
  <si>
    <t>Bősárkány</t>
  </si>
  <si>
    <t>Cakóháza</t>
  </si>
  <si>
    <t>Cirák</t>
  </si>
  <si>
    <t>Csáfordjánosfa</t>
  </si>
  <si>
    <t>Csapod</t>
  </si>
  <si>
    <t>Csér</t>
  </si>
  <si>
    <t>Csikvánd</t>
  </si>
  <si>
    <t>Csorna</t>
  </si>
  <si>
    <t>Darnózseli</t>
  </si>
  <si>
    <t>Dénesfa</t>
  </si>
  <si>
    <t>Dör</t>
  </si>
  <si>
    <t>Dunakiliti</t>
  </si>
  <si>
    <t>Dunaremete</t>
  </si>
  <si>
    <t>Dunaszeg</t>
  </si>
  <si>
    <t>Dunaszentpál</t>
  </si>
  <si>
    <t>Dunasziget</t>
  </si>
  <si>
    <t>Ebergőc</t>
  </si>
  <si>
    <t>Écs</t>
  </si>
  <si>
    <t>Edve</t>
  </si>
  <si>
    <t>Egyed</t>
  </si>
  <si>
    <t>Egyházasfalu</t>
  </si>
  <si>
    <t>Enese</t>
  </si>
  <si>
    <t>Farád</t>
  </si>
  <si>
    <t>Fehértó</t>
  </si>
  <si>
    <t>Feketeerdő</t>
  </si>
  <si>
    <t>Felpéc</t>
  </si>
  <si>
    <t>Fenyőfő</t>
  </si>
  <si>
    <t>Fertőboz</t>
  </si>
  <si>
    <t>Fertőd</t>
  </si>
  <si>
    <t>Fertőendréd</t>
  </si>
  <si>
    <t>Fertőhomok</t>
  </si>
  <si>
    <t>Fertőrákos</t>
  </si>
  <si>
    <t>Fertőszentmiklós</t>
  </si>
  <si>
    <t>Fertőszéplak</t>
  </si>
  <si>
    <t>Gönyű</t>
  </si>
  <si>
    <t>Gyalóka</t>
  </si>
  <si>
    <t>Gyarmat</t>
  </si>
  <si>
    <t>Gyóró</t>
  </si>
  <si>
    <t>Gyömöre</t>
  </si>
  <si>
    <t>Győrasszonyfa</t>
  </si>
  <si>
    <t>Győrladamér</t>
  </si>
  <si>
    <t>Győrság</t>
  </si>
  <si>
    <t>Győrsövényház</t>
  </si>
  <si>
    <t>Győrszemere</t>
  </si>
  <si>
    <t>Győrújbarát</t>
  </si>
  <si>
    <t>Győrújfalu</t>
  </si>
  <si>
    <t>Győrzámoly</t>
  </si>
  <si>
    <t>Halászi</t>
  </si>
  <si>
    <t>Harka</t>
  </si>
  <si>
    <t>Hédervár</t>
  </si>
  <si>
    <t>Hegyeshalom</t>
  </si>
  <si>
    <t>Hegykő</t>
  </si>
  <si>
    <t>Hidegség</t>
  </si>
  <si>
    <t>Himod</t>
  </si>
  <si>
    <t>Hövej</t>
  </si>
  <si>
    <t>Ikrény</t>
  </si>
  <si>
    <t>Iván</t>
  </si>
  <si>
    <t>Jánossomorja</t>
  </si>
  <si>
    <t>Jobaháza</t>
  </si>
  <si>
    <t>Kajárpéc</t>
  </si>
  <si>
    <t>Kapuvár</t>
  </si>
  <si>
    <t>Károlyháza</t>
  </si>
  <si>
    <t>Kimle</t>
  </si>
  <si>
    <t>Kisbabot</t>
  </si>
  <si>
    <t>Kisbajcs</t>
  </si>
  <si>
    <t>Kisbodak</t>
  </si>
  <si>
    <t>Kisfalud</t>
  </si>
  <si>
    <t>Kóny</t>
  </si>
  <si>
    <t>Kópháza</t>
  </si>
  <si>
    <t>Koroncó</t>
  </si>
  <si>
    <t>Kunsziget</t>
  </si>
  <si>
    <t>Lázi</t>
  </si>
  <si>
    <t>Lébény</t>
  </si>
  <si>
    <t>Levél</t>
  </si>
  <si>
    <t>Lipót</t>
  </si>
  <si>
    <t>Lövő</t>
  </si>
  <si>
    <t>Maglóca</t>
  </si>
  <si>
    <t>Magyarkeresztúr</t>
  </si>
  <si>
    <t>Máriakálnok</t>
  </si>
  <si>
    <t>Markotabödöge</t>
  </si>
  <si>
    <t>Mecsér</t>
  </si>
  <si>
    <t>Mérges</t>
  </si>
  <si>
    <t>Mezőörs</t>
  </si>
  <si>
    <t>Mihályi</t>
  </si>
  <si>
    <t>Mórichida</t>
  </si>
  <si>
    <t>Mosonszentmiklós</t>
  </si>
  <si>
    <t>Mosonszolnok</t>
  </si>
  <si>
    <t>Mosonudvar</t>
  </si>
  <si>
    <t>Nagybajcs</t>
  </si>
  <si>
    <t>Nagycenk</t>
  </si>
  <si>
    <t>Nagylózs</t>
  </si>
  <si>
    <t>Nagyszentjános</t>
  </si>
  <si>
    <t>Nemeskér</t>
  </si>
  <si>
    <t>Nyalka</t>
  </si>
  <si>
    <t>Nyúl</t>
  </si>
  <si>
    <t>Osli</t>
  </si>
  <si>
    <t>Öttevény</t>
  </si>
  <si>
    <t>Páli</t>
  </si>
  <si>
    <t>Pannonhalma</t>
  </si>
  <si>
    <t>Pásztori</t>
  </si>
  <si>
    <t>Pázmándfalu</t>
  </si>
  <si>
    <t>Pér</t>
  </si>
  <si>
    <t>Pereszteg</t>
  </si>
  <si>
    <t>Petőháza</t>
  </si>
  <si>
    <t>Pinnye</t>
  </si>
  <si>
    <t>Potyond</t>
  </si>
  <si>
    <t>Pusztacsalád</t>
  </si>
  <si>
    <t>Püski</t>
  </si>
  <si>
    <t>Rábacsanak</t>
  </si>
  <si>
    <t>Rábacsécsény</t>
  </si>
  <si>
    <t>Rábakecöl</t>
  </si>
  <si>
    <t>Rábapatona</t>
  </si>
  <si>
    <t>Rábapordány</t>
  </si>
  <si>
    <t>Rábasebes</t>
  </si>
  <si>
    <t>Rábaszentandrás</t>
  </si>
  <si>
    <t>Rábaszentmihály</t>
  </si>
  <si>
    <t>Rábaszentmiklós</t>
  </si>
  <si>
    <t>Rábatamási</t>
  </si>
  <si>
    <t>Rábcakapi</t>
  </si>
  <si>
    <t>Rajka</t>
  </si>
  <si>
    <t>Ravazd</t>
  </si>
  <si>
    <t>Répceszemere</t>
  </si>
  <si>
    <t>Répcevis</t>
  </si>
  <si>
    <t>Rétalap</t>
  </si>
  <si>
    <t>Románd</t>
  </si>
  <si>
    <t>Röjtökmuzsaj</t>
  </si>
  <si>
    <t>Sarród</t>
  </si>
  <si>
    <t>Sikátor</t>
  </si>
  <si>
    <t>Sobor</t>
  </si>
  <si>
    <t>Sokorópátka</t>
  </si>
  <si>
    <t>Sopronhorpács</t>
  </si>
  <si>
    <t>Sopronkövesd</t>
  </si>
  <si>
    <t>Sopronnémeti</t>
  </si>
  <si>
    <t>Szakony</t>
  </si>
  <si>
    <t>Szany</t>
  </si>
  <si>
    <t>Szárföld</t>
  </si>
  <si>
    <t>Szerecseny</t>
  </si>
  <si>
    <t>Szil</t>
  </si>
  <si>
    <t>Szilsárkány</t>
  </si>
  <si>
    <t>Táp</t>
  </si>
  <si>
    <t>Tápszentmiklós</t>
  </si>
  <si>
    <t>Tarjánpuszta</t>
  </si>
  <si>
    <t>Tárnokréti</t>
  </si>
  <si>
    <t>Tényő</t>
  </si>
  <si>
    <t>Tét</t>
  </si>
  <si>
    <t>Töltéstava</t>
  </si>
  <si>
    <t>Újkér</t>
  </si>
  <si>
    <t>Újrónafő</t>
  </si>
  <si>
    <t>Und</t>
  </si>
  <si>
    <t>Vadosfa</t>
  </si>
  <si>
    <t>Vág</t>
  </si>
  <si>
    <t>Vámosszabadi</t>
  </si>
  <si>
    <t>Várbalog</t>
  </si>
  <si>
    <t>Vásárosfalu</t>
  </si>
  <si>
    <t>Vének</t>
  </si>
  <si>
    <t>Veszkény</t>
  </si>
  <si>
    <t>Veszprémvarsány</t>
  </si>
  <si>
    <t>Vitnyéd</t>
  </si>
  <si>
    <t>Völcsej</t>
  </si>
  <si>
    <t>Zsebeháza</t>
  </si>
  <si>
    <t>Zsira</t>
  </si>
  <si>
    <t>Győri</t>
  </si>
  <si>
    <t>Csornai</t>
  </si>
  <si>
    <t>Soproni</t>
  </si>
  <si>
    <t>Kapuvári</t>
  </si>
  <si>
    <t>Téti</t>
  </si>
  <si>
    <t>Mosonmagyaróvári</t>
  </si>
  <si>
    <t>Pannonhalmi</t>
  </si>
  <si>
    <t>FT3</t>
  </si>
  <si>
    <t>FT4</t>
  </si>
  <si>
    <t>FT2</t>
  </si>
  <si>
    <t>FT1</t>
  </si>
  <si>
    <t>FV1</t>
  </si>
  <si>
    <t>FV3</t>
  </si>
  <si>
    <t>FV2</t>
  </si>
  <si>
    <t>Község</t>
  </si>
  <si>
    <t>Megyei Jogú Város</t>
  </si>
  <si>
    <t>Város</t>
  </si>
  <si>
    <t>Van-e ipari parkja (1=van; 0=nincs)</t>
  </si>
  <si>
    <t>8/2016. II. 26. KH szerint
Kedvezményezett járás (1),
Nem sorolt (0)</t>
  </si>
  <si>
    <t>KSH szerinti lehatárolás (Győri, Soproni)</t>
  </si>
  <si>
    <t>Saját lehatárolás (Mosonmagyaróvári)</t>
  </si>
  <si>
    <t>Kiemelt turisztikai térség (MTÜ-s besorolás)</t>
  </si>
  <si>
    <t>Vízminőségvédelmi terület (1=igen; 0=nem)</t>
  </si>
  <si>
    <t>Kereskedelmi szálláshelyek vendégforgalma 2019-ben (éj)</t>
  </si>
  <si>
    <t>Lakónépesség változás</t>
  </si>
  <si>
    <t>Lakónépesség változás kategória</t>
  </si>
  <si>
    <t>Másik megyével határos (1=igen; 0=nem)</t>
  </si>
  <si>
    <t>Országhatárral határos (1=igen; 0=nem)</t>
  </si>
  <si>
    <t>kezdvezményezett járások besorolásáról szóló 290/2014. korm. Rendelet alapján hátrányossági besorolás (2019-re frissítve!) normalizált mutató</t>
  </si>
  <si>
    <t>Komplex mutató kritérium 0,65 alatt (1=igen; 0=nem)</t>
  </si>
  <si>
    <t>Van-e bölcsőde? (1=van; 0=nincs)</t>
  </si>
  <si>
    <t>0-6 éves kor közötti népesség (fő)</t>
  </si>
  <si>
    <t>Belterület nagyságának változatása 2011/2021</t>
  </si>
  <si>
    <t>2% fölött van-e a belterület változás nagysága (1=igen; 0=nem)</t>
  </si>
  <si>
    <t>Tájképvédelmi övezet (1=igen; 0=nem)</t>
  </si>
  <si>
    <t>Világörökségi terület (1=igen; 0=nem)</t>
  </si>
  <si>
    <t>Helyi adóerőképesség</t>
  </si>
  <si>
    <t>Mezőgazdasági foglalkozásúak aránya</t>
  </si>
  <si>
    <t>Regisztrált társas vállalkozás; Mezőgazdaság, erdőgazdálkodás, halászat (TEÁOR08: A)</t>
  </si>
  <si>
    <t>SZJA adóalapot képező belföldi jövedelem/őstermelői SZJA adóalapot képező belföldi jövedelem aránya</t>
  </si>
  <si>
    <t>Összes társas vállalkozáson belül a mg-i társas vállakozások aránya</t>
  </si>
  <si>
    <t>növekvő</t>
  </si>
  <si>
    <t>csökkenő</t>
  </si>
  <si>
    <t>stagnáló</t>
  </si>
  <si>
    <t>Szigetköz-Mosoni sík fejlesztési térség</t>
  </si>
  <si>
    <t>Alpokalja-Fertő táj fejlesztési térség</t>
  </si>
  <si>
    <t>Pannonhalma-Sokoró-Bakonyalja fejlesztési térség</t>
  </si>
  <si>
    <t>Kapuvár-Csorna-Tét fejlesztési térség</t>
  </si>
  <si>
    <t>Fenntartható Városfejlesztés</t>
  </si>
  <si>
    <t>Felhívásra eső összeg
 (Mrd forint)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</si>
</sst>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F_t_-;\-* #,##0.00\ _F_t_-;_-* &quot;-&quot;??\ _F_t_-;_-@_-"/>
    <numFmt numFmtId="165" formatCode="#,##0.000,,,"/>
    <numFmt numFmtId="166" formatCode="_-* #,##0\ _F_t_-;\-* #,##0\ _F_t_-;_-* &quot;-&quot;??\ _F_t_-;_-@_-"/>
    <numFmt numFmtId="167" formatCode="#,##0.0"/>
    <numFmt numFmtId="168" formatCode="#,##0.000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vertAlign val="subscript"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8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darkUp">
        <bgColor auto="1"/>
      </patternFill>
    </fill>
    <fill>
      <patternFill patternType="darkUp"/>
    </fill>
    <fill>
      <patternFill patternType="darkUp"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7CE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8" fillId="0" borderId="0"/>
    <xf numFmtId="0" fontId="21" fillId="24" borderId="0" applyNumberFormat="0" applyBorder="0" applyAlignment="0" applyProtection="0"/>
    <xf numFmtId="0" fontId="23" fillId="26" borderId="0" applyNumberFormat="0" applyBorder="0" applyAlignment="0" applyProtection="0"/>
  </cellStyleXfs>
  <cellXfs count="276">
    <xf numFmtId="0" fontId="0" fillId="0" borderId="0" xfId="0"/>
    <xf numFmtId="0" fontId="2" fillId="2" borderId="8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left" vertical="center" wrapText="1"/>
    </xf>
    <xf numFmtId="0" fontId="5" fillId="2" borderId="0" xfId="0" applyFont="1" applyFill="1"/>
    <xf numFmtId="0" fontId="5" fillId="0" borderId="0" xfId="0" applyFont="1"/>
    <xf numFmtId="165" fontId="2" fillId="2" borderId="0" xfId="1" applyNumberFormat="1" applyFont="1" applyFill="1" applyBorder="1" applyAlignment="1" applyProtection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wrapText="1"/>
    </xf>
    <xf numFmtId="2" fontId="3" fillId="2" borderId="0" xfId="0" applyNumberFormat="1" applyFont="1" applyFill="1" applyAlignment="1">
      <alignment horizontal="left" wrapText="1"/>
    </xf>
    <xf numFmtId="2" fontId="3" fillId="2" borderId="0" xfId="0" applyNumberFormat="1" applyFont="1" applyFill="1"/>
    <xf numFmtId="0" fontId="3" fillId="2" borderId="0" xfId="0" applyFont="1" applyFill="1"/>
    <xf numFmtId="0" fontId="2" fillId="2" borderId="3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2" fontId="5" fillId="0" borderId="0" xfId="0" applyNumberFormat="1" applyFont="1" applyAlignment="1">
      <alignment horizontal="left" wrapText="1"/>
    </xf>
    <xf numFmtId="2" fontId="5" fillId="0" borderId="0" xfId="0" applyNumberFormat="1" applyFont="1"/>
    <xf numFmtId="0" fontId="5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wrapText="1"/>
    </xf>
    <xf numFmtId="2" fontId="5" fillId="0" borderId="0" xfId="0" applyNumberFormat="1" applyFont="1" applyAlignment="1">
      <alignment horizontal="center" wrapText="1"/>
    </xf>
    <xf numFmtId="0" fontId="3" fillId="2" borderId="0" xfId="0" applyFont="1" applyFill="1" applyAlignment="1" applyProtection="1">
      <alignment horizontal="left" wrapText="1"/>
      <protection locked="0"/>
    </xf>
    <xf numFmtId="2" fontId="3" fillId="2" borderId="0" xfId="0" applyNumberFormat="1" applyFont="1" applyFill="1" applyAlignment="1" applyProtection="1">
      <alignment horizontal="left" wrapText="1"/>
      <protection locked="0"/>
    </xf>
    <xf numFmtId="2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3" borderId="1" xfId="0" applyFont="1" applyFill="1" applyBorder="1" applyAlignment="1" applyProtection="1">
      <alignment vertical="center" wrapText="1"/>
      <protection locked="0"/>
    </xf>
    <xf numFmtId="0" fontId="2" fillId="4" borderId="6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165" fontId="2" fillId="5" borderId="1" xfId="0" applyNumberFormat="1" applyFont="1" applyFill="1" applyBorder="1" applyAlignment="1">
      <alignment horizontal="center" vertical="center" wrapText="1"/>
    </xf>
    <xf numFmtId="165" fontId="2" fillId="2" borderId="0" xfId="1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7" fillId="4" borderId="9" xfId="0" applyFont="1" applyFill="1" applyBorder="1" applyAlignment="1" applyProtection="1">
      <alignment horizontal="center" vertical="center" wrapText="1"/>
      <protection locked="0"/>
    </xf>
    <xf numFmtId="2" fontId="7" fillId="4" borderId="10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10" xfId="0" applyFont="1" applyFill="1" applyBorder="1" applyAlignment="1" applyProtection="1">
      <alignment horizontal="center" vertical="center" wrapText="1"/>
      <protection locked="0"/>
    </xf>
    <xf numFmtId="2" fontId="7" fillId="4" borderId="12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Border="1" applyAlignment="1" applyProtection="1">
      <alignment horizontal="left" vertical="center" wrapText="1"/>
      <protection locked="0"/>
    </xf>
    <xf numFmtId="0" fontId="7" fillId="4" borderId="19" xfId="0" applyFont="1" applyFill="1" applyBorder="1" applyAlignment="1" applyProtection="1">
      <alignment horizontal="center" vertical="center" wrapText="1"/>
      <protection locked="0"/>
    </xf>
    <xf numFmtId="166" fontId="2" fillId="2" borderId="20" xfId="1" applyNumberFormat="1" applyFont="1" applyFill="1" applyBorder="1" applyAlignment="1" applyProtection="1">
      <alignment horizontal="center"/>
      <protection locked="0"/>
    </xf>
    <xf numFmtId="166" fontId="3" fillId="9" borderId="7" xfId="1" applyNumberFormat="1" applyFont="1" applyFill="1" applyBorder="1" applyAlignment="1" applyProtection="1">
      <alignment horizontal="center" vertical="center" wrapText="1"/>
      <protection locked="0"/>
    </xf>
    <xf numFmtId="166" fontId="3" fillId="10" borderId="7" xfId="1" applyNumberFormat="1" applyFont="1" applyFill="1" applyBorder="1" applyAlignment="1" applyProtection="1">
      <alignment horizontal="center" vertical="center" wrapText="1"/>
      <protection locked="0"/>
    </xf>
    <xf numFmtId="2" fontId="7" fillId="4" borderId="9" xfId="0" applyNumberFormat="1" applyFont="1" applyFill="1" applyBorder="1" applyAlignment="1" applyProtection="1">
      <alignment horizontal="center" vertical="center" wrapText="1"/>
      <protection locked="0"/>
    </xf>
    <xf numFmtId="2" fontId="8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vertical="center" wrapText="1"/>
      <protection locked="0"/>
    </xf>
    <xf numFmtId="166" fontId="2" fillId="2" borderId="24" xfId="1" applyNumberFormat="1" applyFont="1" applyFill="1" applyBorder="1" applyAlignment="1" applyProtection="1">
      <alignment horizontal="center"/>
      <protection locked="0"/>
    </xf>
    <xf numFmtId="0" fontId="10" fillId="0" borderId="9" xfId="0" applyFont="1" applyBorder="1" applyAlignment="1">
      <alignment horizontal="center" vertical="center"/>
    </xf>
    <xf numFmtId="0" fontId="0" fillId="0" borderId="21" xfId="0" applyBorder="1"/>
    <xf numFmtId="0" fontId="0" fillId="0" borderId="23" xfId="0" applyBorder="1"/>
    <xf numFmtId="0" fontId="11" fillId="0" borderId="11" xfId="0" applyFont="1" applyBorder="1"/>
    <xf numFmtId="0" fontId="9" fillId="11" borderId="28" xfId="0" applyFont="1" applyFill="1" applyBorder="1" applyAlignment="1">
      <alignment horizontal="center" vertical="center" wrapText="1"/>
    </xf>
    <xf numFmtId="0" fontId="9" fillId="11" borderId="29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66" fontId="9" fillId="12" borderId="1" xfId="2" applyNumberFormat="1" applyFont="1" applyFill="1" applyBorder="1" applyAlignment="1">
      <alignment horizontal="center" vertical="center" wrapText="1"/>
    </xf>
    <xf numFmtId="166" fontId="9" fillId="4" borderId="1" xfId="2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9" fillId="0" borderId="1" xfId="0" applyFont="1" applyBorder="1"/>
    <xf numFmtId="166" fontId="0" fillId="0" borderId="1" xfId="2" applyNumberFormat="1" applyFont="1" applyBorder="1"/>
    <xf numFmtId="166" fontId="9" fillId="0" borderId="1" xfId="2" applyNumberFormat="1" applyFont="1" applyBorder="1"/>
    <xf numFmtId="0" fontId="0" fillId="13" borderId="0" xfId="0" applyFill="1"/>
    <xf numFmtId="0" fontId="0" fillId="0" borderId="1" xfId="0" applyBorder="1" applyAlignment="1">
      <alignment horizontal="center" vertical="center"/>
    </xf>
    <xf numFmtId="0" fontId="0" fillId="0" borderId="0" xfId="0" applyProtection="1">
      <protection locked="0"/>
    </xf>
    <xf numFmtId="0" fontId="12" fillId="14" borderId="18" xfId="0" applyFont="1" applyFill="1" applyBorder="1" applyAlignment="1">
      <alignment horizontal="center" vertical="center"/>
    </xf>
    <xf numFmtId="0" fontId="12" fillId="14" borderId="30" xfId="0" applyFont="1" applyFill="1" applyBorder="1" applyAlignment="1">
      <alignment horizontal="center" vertical="center"/>
    </xf>
    <xf numFmtId="0" fontId="0" fillId="2" borderId="0" xfId="0" applyFill="1"/>
    <xf numFmtId="0" fontId="13" fillId="14" borderId="1" xfId="0" applyFont="1" applyFill="1" applyBorder="1" applyAlignment="1">
      <alignment vertical="center" wrapText="1"/>
    </xf>
    <xf numFmtId="0" fontId="0" fillId="14" borderId="6" xfId="0" applyFill="1" applyBorder="1" applyAlignment="1">
      <alignment vertical="center" wrapText="1"/>
    </xf>
    <xf numFmtId="0" fontId="0" fillId="2" borderId="8" xfId="0" applyFill="1" applyBorder="1" applyAlignment="1">
      <alignment horizontal="center" vertical="center" wrapText="1"/>
    </xf>
    <xf numFmtId="2" fontId="0" fillId="14" borderId="5" xfId="0" applyNumberForma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10" fillId="15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 vertical="center" wrapText="1"/>
    </xf>
    <xf numFmtId="165" fontId="10" fillId="3" borderId="1" xfId="0" applyNumberFormat="1" applyFont="1" applyFill="1" applyBorder="1" applyAlignment="1">
      <alignment horizontal="center" vertical="center"/>
    </xf>
    <xf numFmtId="165" fontId="11" fillId="16" borderId="1" xfId="0" applyNumberFormat="1" applyFont="1" applyFill="1" applyBorder="1" applyAlignment="1" applyProtection="1">
      <alignment horizontal="center" vertical="center"/>
      <protection locked="0"/>
    </xf>
    <xf numFmtId="165" fontId="11" fillId="15" borderId="1" xfId="0" applyNumberFormat="1" applyFont="1" applyFill="1" applyBorder="1" applyAlignment="1">
      <alignment horizontal="center" vertical="center"/>
    </xf>
    <xf numFmtId="165" fontId="11" fillId="14" borderId="1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left" vertical="center" wrapText="1"/>
    </xf>
    <xf numFmtId="165" fontId="10" fillId="3" borderId="1" xfId="0" applyNumberFormat="1" applyFont="1" applyFill="1" applyBorder="1" applyAlignment="1">
      <alignment horizontal="center" wrapText="1"/>
    </xf>
    <xf numFmtId="49" fontId="14" fillId="0" borderId="1" xfId="0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14" fontId="14" fillId="0" borderId="1" xfId="0" applyNumberFormat="1" applyFont="1" applyBorder="1" applyAlignment="1">
      <alignment horizontal="left" vertical="center" wrapText="1"/>
    </xf>
    <xf numFmtId="14" fontId="14" fillId="0" borderId="7" xfId="0" applyNumberFormat="1" applyFont="1" applyBorder="1" applyAlignment="1">
      <alignment horizontal="left" vertical="center" wrapText="1"/>
    </xf>
    <xf numFmtId="165" fontId="10" fillId="14" borderId="1" xfId="0" applyNumberFormat="1" applyFont="1" applyFill="1" applyBorder="1"/>
    <xf numFmtId="0" fontId="9" fillId="17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11" borderId="1" xfId="0" applyFill="1" applyBorder="1" applyAlignment="1">
      <alignment horizontal="left" vertical="center" wrapText="1"/>
    </xf>
    <xf numFmtId="3" fontId="0" fillId="6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7" fillId="0" borderId="1" xfId="0" applyFont="1" applyBorder="1" applyAlignment="1">
      <alignment horizontal="left" vertical="center"/>
    </xf>
    <xf numFmtId="0" fontId="17" fillId="11" borderId="1" xfId="0" applyFont="1" applyFill="1" applyBorder="1" applyAlignment="1">
      <alignment horizontal="left" vertical="center" wrapText="1"/>
    </xf>
    <xf numFmtId="0" fontId="11" fillId="11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9" fillId="18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18" borderId="1" xfId="0" applyFill="1" applyBorder="1" applyAlignment="1">
      <alignment horizontal="center" vertical="center" wrapText="1"/>
    </xf>
    <xf numFmtId="0" fontId="0" fillId="19" borderId="1" xfId="0" applyFill="1" applyBorder="1"/>
    <xf numFmtId="0" fontId="6" fillId="20" borderId="1" xfId="0" applyFont="1" applyFill="1" applyBorder="1" applyAlignment="1">
      <alignment horizontal="center" vertical="center" wrapText="1"/>
    </xf>
    <xf numFmtId="0" fontId="6" fillId="2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>
      <alignment horizontal="center" vertical="center" wrapText="1"/>
    </xf>
    <xf numFmtId="166" fontId="2" fillId="8" borderId="23" xfId="1" applyNumberFormat="1" applyFont="1" applyFill="1" applyBorder="1" applyAlignment="1" applyProtection="1">
      <alignment horizontal="center" vertical="center" wrapText="1"/>
      <protection locked="0"/>
    </xf>
    <xf numFmtId="166" fontId="2" fillId="8" borderId="2" xfId="1" applyNumberFormat="1" applyFont="1" applyFill="1" applyBorder="1" applyAlignment="1" applyProtection="1">
      <alignment horizontal="center" vertical="center" wrapText="1"/>
      <protection locked="0"/>
    </xf>
    <xf numFmtId="166" fontId="2" fillId="3" borderId="17" xfId="1" applyNumberFormat="1" applyFont="1" applyFill="1" applyBorder="1" applyAlignment="1" applyProtection="1">
      <alignment horizontal="center" vertical="center" wrapText="1"/>
      <protection locked="0"/>
    </xf>
    <xf numFmtId="166" fontId="2" fillId="3" borderId="22" xfId="1" applyNumberFormat="1" applyFont="1" applyFill="1" applyBorder="1" applyAlignment="1" applyProtection="1">
      <alignment horizontal="center" vertical="center" wrapText="1"/>
      <protection locked="0"/>
    </xf>
    <xf numFmtId="166" fontId="2" fillId="8" borderId="21" xfId="1" applyNumberFormat="1" applyFont="1" applyFill="1" applyBorder="1" applyAlignment="1" applyProtection="1">
      <alignment horizontal="center" vertical="center" wrapText="1"/>
      <protection locked="0"/>
    </xf>
    <xf numFmtId="166" fontId="2" fillId="8" borderId="1" xfId="1" applyNumberFormat="1" applyFont="1" applyFill="1" applyBorder="1" applyAlignment="1" applyProtection="1">
      <alignment horizontal="center" vertical="center" wrapText="1"/>
      <protection locked="0"/>
    </xf>
    <xf numFmtId="166" fontId="3" fillId="0" borderId="16" xfId="1" applyNumberFormat="1" applyFont="1" applyFill="1" applyBorder="1" applyAlignment="1" applyProtection="1">
      <alignment horizontal="center" vertical="center" wrapText="1"/>
      <protection locked="0"/>
    </xf>
    <xf numFmtId="166" fontId="2" fillId="3" borderId="1" xfId="1" applyNumberFormat="1" applyFont="1" applyFill="1" applyBorder="1" applyAlignment="1" applyProtection="1">
      <alignment horizontal="center" vertical="center" wrapText="1"/>
      <protection locked="0"/>
    </xf>
    <xf numFmtId="166" fontId="2" fillId="8" borderId="16" xfId="1" applyNumberFormat="1" applyFont="1" applyFill="1" applyBorder="1" applyAlignment="1" applyProtection="1">
      <alignment horizontal="center" vertical="center" wrapText="1"/>
      <protection locked="0"/>
    </xf>
    <xf numFmtId="166" fontId="2" fillId="3" borderId="6" xfId="1" applyNumberFormat="1" applyFont="1" applyFill="1" applyBorder="1" applyAlignment="1" applyProtection="1">
      <alignment horizontal="center" vertical="center" wrapText="1"/>
      <protection locked="0"/>
    </xf>
    <xf numFmtId="166" fontId="2" fillId="2" borderId="21" xfId="1" applyNumberFormat="1" applyFont="1" applyFill="1" applyBorder="1" applyAlignment="1" applyProtection="1">
      <alignment horizontal="center" vertical="center" wrapText="1"/>
      <protection locked="0"/>
    </xf>
    <xf numFmtId="166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3" fillId="0" borderId="6" xfId="1" applyNumberFormat="1" applyFont="1" applyFill="1" applyBorder="1" applyAlignment="1" applyProtection="1">
      <alignment horizontal="center" vertical="center" wrapText="1"/>
      <protection locked="0"/>
    </xf>
    <xf numFmtId="166" fontId="3" fillId="2" borderId="21" xfId="1" applyNumberFormat="1" applyFont="1" applyFill="1" applyBorder="1" applyAlignment="1" applyProtection="1">
      <alignment horizontal="center" vertical="center" wrapText="1"/>
      <protection locked="0"/>
    </xf>
    <xf numFmtId="166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2" fillId="3" borderId="16" xfId="1" applyNumberFormat="1" applyFont="1" applyFill="1" applyBorder="1" applyAlignment="1" applyProtection="1">
      <alignment horizontal="center" vertical="center" wrapText="1"/>
      <protection locked="0"/>
    </xf>
    <xf numFmtId="166" fontId="2" fillId="0" borderId="6" xfId="1" applyNumberFormat="1" applyFont="1" applyFill="1" applyBorder="1" applyAlignment="1" applyProtection="1">
      <alignment horizontal="center" vertical="center" wrapText="1"/>
      <protection locked="0"/>
    </xf>
    <xf numFmtId="166" fontId="2" fillId="3" borderId="21" xfId="1" applyNumberFormat="1" applyFont="1" applyFill="1" applyBorder="1" applyAlignment="1" applyProtection="1">
      <alignment horizontal="center" vertical="center" wrapText="1"/>
      <protection locked="0"/>
    </xf>
    <xf numFmtId="166" fontId="3" fillId="10" borderId="21" xfId="1" applyNumberFormat="1" applyFont="1" applyFill="1" applyBorder="1" applyAlignment="1" applyProtection="1">
      <alignment horizontal="center" vertical="center" wrapText="1"/>
      <protection locked="0"/>
    </xf>
    <xf numFmtId="166" fontId="3" fillId="10" borderId="1" xfId="1" applyNumberFormat="1" applyFont="1" applyFill="1" applyBorder="1" applyAlignment="1" applyProtection="1">
      <alignment horizontal="center" vertical="center" wrapText="1"/>
      <protection locked="0"/>
    </xf>
    <xf numFmtId="166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166" fontId="3" fillId="8" borderId="21" xfId="1" applyNumberFormat="1" applyFont="1" applyFill="1" applyBorder="1" applyAlignment="1" applyProtection="1">
      <alignment horizontal="left" vertical="center" wrapText="1"/>
      <protection locked="0"/>
    </xf>
    <xf numFmtId="166" fontId="3" fillId="8" borderId="1" xfId="1" applyNumberFormat="1" applyFont="1" applyFill="1" applyBorder="1" applyAlignment="1" applyProtection="1">
      <alignment horizontal="left" vertical="center" wrapText="1"/>
      <protection locked="0"/>
    </xf>
    <xf numFmtId="166" fontId="3" fillId="8" borderId="1" xfId="1" applyNumberFormat="1" applyFont="1" applyFill="1" applyBorder="1" applyAlignment="1" applyProtection="1">
      <alignment vertical="center" wrapText="1"/>
      <protection locked="0"/>
    </xf>
    <xf numFmtId="166" fontId="3" fillId="0" borderId="21" xfId="1" applyNumberFormat="1" applyFont="1" applyFill="1" applyBorder="1" applyAlignment="1" applyProtection="1">
      <alignment horizontal="center" vertical="center" wrapText="1"/>
      <protection locked="0"/>
    </xf>
    <xf numFmtId="166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166" fontId="3" fillId="9" borderId="21" xfId="1" applyNumberFormat="1" applyFont="1" applyFill="1" applyBorder="1" applyAlignment="1" applyProtection="1">
      <alignment horizontal="center" vertical="center" wrapText="1"/>
      <protection locked="0"/>
    </xf>
    <xf numFmtId="166" fontId="3" fillId="9" borderId="1" xfId="1" applyNumberFormat="1" applyFont="1" applyFill="1" applyBorder="1" applyAlignment="1" applyProtection="1">
      <alignment horizontal="center" vertical="center" wrapText="1"/>
      <protection locked="0"/>
    </xf>
    <xf numFmtId="166" fontId="3" fillId="8" borderId="16" xfId="1" applyNumberFormat="1" applyFont="1" applyFill="1" applyBorder="1" applyAlignment="1" applyProtection="1">
      <alignment horizontal="center" vertical="center" wrapText="1"/>
      <protection locked="0"/>
    </xf>
    <xf numFmtId="166" fontId="3" fillId="2" borderId="14" xfId="1" applyNumberFormat="1" applyFont="1" applyFill="1" applyBorder="1" applyAlignment="1" applyProtection="1">
      <alignment horizontal="center" vertical="center" wrapText="1"/>
      <protection locked="0"/>
    </xf>
    <xf numFmtId="166" fontId="3" fillId="2" borderId="5" xfId="1" applyNumberFormat="1" applyFont="1" applyFill="1" applyBorder="1" applyAlignment="1" applyProtection="1">
      <alignment horizontal="center" vertical="center" wrapText="1"/>
      <protection locked="0"/>
    </xf>
    <xf numFmtId="166" fontId="3" fillId="8" borderId="15" xfId="1" applyNumberFormat="1" applyFont="1" applyFill="1" applyBorder="1" applyAlignment="1" applyProtection="1">
      <alignment horizontal="center" vertical="center" wrapText="1"/>
      <protection locked="0"/>
    </xf>
    <xf numFmtId="166" fontId="2" fillId="0" borderId="18" xfId="1" applyNumberFormat="1" applyFont="1" applyFill="1" applyBorder="1" applyAlignment="1" applyProtection="1">
      <alignment horizontal="center" vertical="center" wrapText="1"/>
      <protection locked="0"/>
    </xf>
    <xf numFmtId="166" fontId="2" fillId="5" borderId="1" xfId="1" applyNumberFormat="1" applyFont="1" applyFill="1" applyBorder="1" applyAlignment="1" applyProtection="1">
      <alignment horizontal="center" vertical="center" wrapText="1"/>
    </xf>
    <xf numFmtId="166" fontId="2" fillId="5" borderId="1" xfId="1" applyNumberFormat="1" applyFont="1" applyFill="1" applyBorder="1" applyAlignment="1" applyProtection="1">
      <alignment horizontal="center" vertical="center"/>
    </xf>
    <xf numFmtId="166" fontId="2" fillId="4" borderId="1" xfId="1" applyNumberFormat="1" applyFont="1" applyFill="1" applyBorder="1" applyAlignment="1" applyProtection="1">
      <alignment horizontal="center" vertical="center"/>
    </xf>
    <xf numFmtId="0" fontId="2" fillId="4" borderId="7" xfId="0" applyFont="1" applyFill="1" applyBorder="1" applyAlignment="1">
      <alignment vertical="center" wrapText="1"/>
    </xf>
    <xf numFmtId="166" fontId="0" fillId="0" borderId="6" xfId="1" applyNumberFormat="1" applyFont="1" applyBorder="1" applyAlignment="1">
      <alignment horizontal="center" vertical="center"/>
    </xf>
    <xf numFmtId="166" fontId="0" fillId="2" borderId="1" xfId="1" applyNumberFormat="1" applyFont="1" applyFill="1" applyBorder="1" applyAlignment="1">
      <alignment horizontal="center" vertical="center"/>
    </xf>
    <xf numFmtId="166" fontId="5" fillId="0" borderId="1" xfId="1" applyNumberFormat="1" applyFont="1" applyBorder="1" applyAlignment="1">
      <alignment horizontal="center" vertical="center" wrapText="1"/>
    </xf>
    <xf numFmtId="0" fontId="0" fillId="2" borderId="0" xfId="4" applyFont="1" applyFill="1" applyBorder="1" applyAlignment="1">
      <alignment horizontal="center" vertical="center" wrapText="1"/>
    </xf>
    <xf numFmtId="0" fontId="0" fillId="24" borderId="1" xfId="4" applyFont="1" applyBorder="1" applyAlignment="1">
      <alignment horizontal="center" vertical="center" wrapText="1"/>
    </xf>
    <xf numFmtId="166" fontId="9" fillId="2" borderId="0" xfId="2" applyNumberFormat="1" applyFont="1" applyFill="1" applyBorder="1" applyAlignment="1">
      <alignment vertical="center" wrapText="1"/>
    </xf>
    <xf numFmtId="166" fontId="0" fillId="0" borderId="1" xfId="1" applyNumberFormat="1" applyFont="1" applyBorder="1" applyAlignment="1">
      <alignment horizontal="center" vertical="center"/>
    </xf>
    <xf numFmtId="166" fontId="5" fillId="0" borderId="0" xfId="1" applyNumberFormat="1" applyFont="1"/>
    <xf numFmtId="166" fontId="17" fillId="0" borderId="1" xfId="2" applyNumberFormat="1" applyFont="1" applyBorder="1"/>
    <xf numFmtId="166" fontId="7" fillId="0" borderId="1" xfId="2" applyNumberFormat="1" applyFont="1" applyBorder="1"/>
    <xf numFmtId="0" fontId="23" fillId="26" borderId="1" xfId="5" applyBorder="1" applyAlignment="1">
      <alignment horizontal="center" vertical="center"/>
    </xf>
    <xf numFmtId="4" fontId="22" fillId="18" borderId="1" xfId="0" applyNumberFormat="1" applyFont="1" applyFill="1" applyBorder="1" applyAlignment="1">
      <alignment horizontal="center" vertical="center"/>
    </xf>
    <xf numFmtId="4" fontId="22" fillId="2" borderId="1" xfId="0" applyNumberFormat="1" applyFont="1" applyFill="1" applyBorder="1" applyAlignment="1">
      <alignment horizontal="center" vertical="center"/>
    </xf>
    <xf numFmtId="4" fontId="0" fillId="6" borderId="1" xfId="0" applyNumberFormat="1" applyFill="1" applyBorder="1" applyAlignment="1">
      <alignment horizontal="center" vertical="center"/>
    </xf>
    <xf numFmtId="3" fontId="0" fillId="18" borderId="1" xfId="0" applyNumberForma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3" fontId="22" fillId="18" borderId="1" xfId="0" applyNumberFormat="1" applyFont="1" applyFill="1" applyBorder="1" applyAlignment="1">
      <alignment horizontal="center" vertical="center"/>
    </xf>
    <xf numFmtId="3" fontId="22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168" fontId="0" fillId="2" borderId="1" xfId="0" applyNumberFormat="1" applyFill="1" applyBorder="1" applyAlignment="1">
      <alignment horizontal="center" vertical="center"/>
    </xf>
    <xf numFmtId="168" fontId="0" fillId="6" borderId="1" xfId="0" applyNumberForma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4" fontId="17" fillId="6" borderId="1" xfId="0" applyNumberFormat="1" applyFont="1" applyFill="1" applyBorder="1" applyAlignment="1">
      <alignment horizontal="center" vertical="center"/>
    </xf>
    <xf numFmtId="4" fontId="17" fillId="6" borderId="6" xfId="0" applyNumberFormat="1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/>
    </xf>
    <xf numFmtId="4" fontId="0" fillId="18" borderId="1" xfId="0" applyNumberForma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3" fontId="17" fillId="18" borderId="1" xfId="0" applyNumberFormat="1" applyFont="1" applyFill="1" applyBorder="1" applyAlignment="1">
      <alignment horizontal="center" vertical="center"/>
    </xf>
    <xf numFmtId="0" fontId="21" fillId="18" borderId="0" xfId="4" applyFill="1"/>
    <xf numFmtId="166" fontId="0" fillId="0" borderId="0" xfId="0" applyNumberFormat="1"/>
    <xf numFmtId="166" fontId="22" fillId="0" borderId="6" xfId="1" applyNumberFormat="1" applyFont="1" applyBorder="1" applyAlignment="1">
      <alignment horizontal="center" vertical="center"/>
    </xf>
    <xf numFmtId="166" fontId="17" fillId="0" borderId="1" xfId="2" applyNumberFormat="1" applyFont="1" applyFill="1" applyBorder="1"/>
    <xf numFmtId="166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>
      <alignment horizontal="center" vertical="center"/>
    </xf>
    <xf numFmtId="0" fontId="24" fillId="11" borderId="1" xfId="0" applyFont="1" applyFill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/>
    </xf>
    <xf numFmtId="166" fontId="2" fillId="0" borderId="16" xfId="1" applyNumberFormat="1" applyFont="1" applyFill="1" applyBorder="1" applyAlignment="1" applyProtection="1">
      <alignment horizontal="center" vertical="center" wrapText="1"/>
      <protection locked="0"/>
    </xf>
    <xf numFmtId="2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wrapText="1"/>
    </xf>
    <xf numFmtId="165" fontId="10" fillId="3" borderId="1" xfId="0" applyNumberFormat="1" applyFont="1" applyFill="1" applyBorder="1" applyAlignment="1">
      <alignment horizontal="center" vertical="center" wrapText="1"/>
    </xf>
    <xf numFmtId="165" fontId="28" fillId="16" borderId="1" xfId="0" applyNumberFormat="1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4" fillId="15" borderId="6" xfId="0" applyFont="1" applyFill="1" applyBorder="1" applyAlignment="1">
      <alignment horizontal="center" vertical="center" wrapText="1"/>
    </xf>
    <xf numFmtId="0" fontId="14" fillId="15" borderId="31" xfId="0" applyFont="1" applyFill="1" applyBorder="1" applyAlignment="1">
      <alignment horizontal="center" vertical="center" wrapText="1"/>
    </xf>
    <xf numFmtId="0" fontId="14" fillId="15" borderId="7" xfId="0" applyFont="1" applyFill="1" applyBorder="1" applyAlignment="1">
      <alignment horizontal="center" vertical="center" wrapText="1"/>
    </xf>
    <xf numFmtId="0" fontId="14" fillId="15" borderId="1" xfId="0" applyFont="1" applyFill="1" applyBorder="1" applyAlignment="1">
      <alignment horizontal="center" vertical="center" wrapText="1"/>
    </xf>
    <xf numFmtId="0" fontId="11" fillId="14" borderId="1" xfId="0" applyFont="1" applyFill="1" applyBorder="1" applyAlignment="1">
      <alignment horizontal="center" vertical="center" wrapText="1"/>
    </xf>
    <xf numFmtId="0" fontId="10" fillId="15" borderId="2" xfId="0" applyFont="1" applyFill="1" applyBorder="1" applyAlignment="1">
      <alignment horizontal="center" vertical="center" wrapText="1"/>
    </xf>
    <xf numFmtId="0" fontId="10" fillId="15" borderId="5" xfId="0" applyFont="1" applyFill="1" applyBorder="1" applyAlignment="1">
      <alignment horizontal="center" vertical="center" wrapText="1"/>
    </xf>
    <xf numFmtId="0" fontId="10" fillId="15" borderId="2" xfId="0" applyFont="1" applyFill="1" applyBorder="1" applyAlignment="1">
      <alignment horizontal="center" vertical="center"/>
    </xf>
    <xf numFmtId="0" fontId="10" fillId="15" borderId="5" xfId="0" applyFont="1" applyFill="1" applyBorder="1" applyAlignment="1">
      <alignment horizontal="center" vertical="center"/>
    </xf>
    <xf numFmtId="166" fontId="2" fillId="7" borderId="2" xfId="1" applyNumberFormat="1" applyFont="1" applyFill="1" applyBorder="1" applyAlignment="1" applyProtection="1">
      <alignment horizontal="center" vertical="center" wrapText="1"/>
      <protection locked="0"/>
    </xf>
    <xf numFmtId="166" fontId="2" fillId="7" borderId="4" xfId="1" applyNumberFormat="1" applyFont="1" applyFill="1" applyBorder="1" applyAlignment="1" applyProtection="1">
      <alignment horizontal="center" vertical="center" wrapText="1"/>
      <protection locked="0"/>
    </xf>
    <xf numFmtId="166" fontId="2" fillId="7" borderId="5" xfId="1" applyNumberFormat="1" applyFont="1" applyFill="1" applyBorder="1" applyAlignment="1" applyProtection="1">
      <alignment horizontal="center" vertical="center" wrapText="1"/>
      <protection locked="0"/>
    </xf>
    <xf numFmtId="0" fontId="2" fillId="7" borderId="17" xfId="0" applyFont="1" applyFill="1" applyBorder="1" applyAlignment="1" applyProtection="1">
      <alignment horizontal="center" vertical="center" wrapText="1"/>
      <protection locked="0"/>
    </xf>
    <xf numFmtId="0" fontId="2" fillId="7" borderId="13" xfId="0" applyFont="1" applyFill="1" applyBorder="1" applyAlignment="1" applyProtection="1">
      <alignment horizontal="center" vertical="center" wrapText="1"/>
      <protection locked="0"/>
    </xf>
    <xf numFmtId="0" fontId="2" fillId="7" borderId="15" xfId="0" applyFont="1" applyFill="1" applyBorder="1" applyAlignment="1" applyProtection="1">
      <alignment horizontal="center" vertical="center" wrapText="1"/>
      <protection locked="0"/>
    </xf>
    <xf numFmtId="166" fontId="2" fillId="6" borderId="2" xfId="1" applyNumberFormat="1" applyFont="1" applyFill="1" applyBorder="1" applyAlignment="1" applyProtection="1">
      <alignment horizontal="center" vertical="center" wrapText="1"/>
      <protection locked="0"/>
    </xf>
    <xf numFmtId="166" fontId="2" fillId="6" borderId="4" xfId="1" applyNumberFormat="1" applyFont="1" applyFill="1" applyBorder="1" applyAlignment="1" applyProtection="1">
      <alignment horizontal="center" vertical="center" wrapText="1"/>
      <protection locked="0"/>
    </xf>
    <xf numFmtId="166" fontId="2" fillId="6" borderId="5" xfId="1" applyNumberFormat="1" applyFont="1" applyFill="1" applyBorder="1" applyAlignment="1" applyProtection="1">
      <alignment horizontal="center" vertical="center" wrapText="1"/>
      <protection locked="0"/>
    </xf>
    <xf numFmtId="0" fontId="2" fillId="6" borderId="2" xfId="0" applyFont="1" applyFill="1" applyBorder="1" applyAlignment="1" applyProtection="1">
      <alignment horizontal="center" vertical="center" wrapText="1"/>
      <protection locked="0"/>
    </xf>
    <xf numFmtId="0" fontId="2" fillId="6" borderId="4" xfId="0" applyFont="1" applyFill="1" applyBorder="1" applyAlignment="1" applyProtection="1">
      <alignment horizontal="center" vertical="center" wrapText="1"/>
      <protection locked="0"/>
    </xf>
    <xf numFmtId="0" fontId="2" fillId="6" borderId="5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6" borderId="36" xfId="0" applyFont="1" applyFill="1" applyBorder="1" applyAlignment="1" applyProtection="1">
      <alignment horizontal="center" vertical="center" wrapText="1"/>
      <protection locked="0"/>
    </xf>
    <xf numFmtId="166" fontId="2" fillId="6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6" borderId="35" xfId="0" applyFont="1" applyFill="1" applyBorder="1" applyAlignment="1" applyProtection="1">
      <alignment horizontal="center" vertical="center" wrapText="1"/>
      <protection locked="0"/>
    </xf>
    <xf numFmtId="0" fontId="5" fillId="0" borderId="33" xfId="0" applyFont="1" applyBorder="1" applyAlignment="1">
      <alignment horizontal="left" vertical="center"/>
    </xf>
    <xf numFmtId="0" fontId="0" fillId="13" borderId="0" xfId="0" applyFill="1" applyAlignment="1">
      <alignment horizontal="left"/>
    </xf>
    <xf numFmtId="166" fontId="9" fillId="25" borderId="1" xfId="2" applyNumberFormat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9" fillId="4" borderId="6" xfId="4" applyFont="1" applyFill="1" applyBorder="1" applyAlignment="1">
      <alignment horizontal="center" vertical="center" wrapText="1"/>
    </xf>
    <xf numFmtId="0" fontId="9" fillId="4" borderId="7" xfId="4" applyFont="1" applyFill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5" fillId="0" borderId="32" xfId="0" applyFont="1" applyBorder="1" applyAlignment="1">
      <alignment horizontal="left" vertical="center"/>
    </xf>
    <xf numFmtId="0" fontId="0" fillId="13" borderId="0" xfId="0" applyFill="1" applyAlignment="1">
      <alignment horizontal="center"/>
    </xf>
    <xf numFmtId="166" fontId="9" fillId="12" borderId="1" xfId="2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23" borderId="6" xfId="0" applyFont="1" applyFill="1" applyBorder="1" applyAlignment="1">
      <alignment horizontal="center" vertical="center" wrapText="1"/>
    </xf>
    <xf numFmtId="0" fontId="13" fillId="23" borderId="31" xfId="0" applyFont="1" applyFill="1" applyBorder="1" applyAlignment="1">
      <alignment horizontal="center" vertical="center" wrapText="1"/>
    </xf>
    <xf numFmtId="0" fontId="20" fillId="21" borderId="2" xfId="0" applyFont="1" applyFill="1" applyBorder="1" applyAlignment="1">
      <alignment horizontal="center" vertical="center"/>
    </xf>
    <xf numFmtId="0" fontId="20" fillId="21" borderId="5" xfId="0" applyFont="1" applyFill="1" applyBorder="1" applyAlignment="1">
      <alignment horizontal="center" vertical="center"/>
    </xf>
    <xf numFmtId="0" fontId="20" fillId="21" borderId="2" xfId="0" applyFont="1" applyFill="1" applyBorder="1" applyAlignment="1">
      <alignment horizontal="center" vertical="center" wrapText="1"/>
    </xf>
    <xf numFmtId="0" fontId="20" fillId="21" borderId="5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 wrapText="1"/>
    </xf>
    <xf numFmtId="0" fontId="9" fillId="17" borderId="4" xfId="0" applyFont="1" applyFill="1" applyBorder="1" applyAlignment="1">
      <alignment horizontal="center" vertical="center" wrapText="1"/>
    </xf>
    <xf numFmtId="0" fontId="9" fillId="17" borderId="5" xfId="0" applyFont="1" applyFill="1" applyBorder="1" applyAlignment="1">
      <alignment horizontal="center" vertical="center" wrapText="1"/>
    </xf>
    <xf numFmtId="0" fontId="9" fillId="17" borderId="8" xfId="0" applyFont="1" applyFill="1" applyBorder="1" applyAlignment="1">
      <alignment horizontal="center" vertical="center" wrapText="1"/>
    </xf>
    <xf numFmtId="0" fontId="9" fillId="17" borderId="1" xfId="0" applyFont="1" applyFill="1" applyBorder="1" applyAlignment="1">
      <alignment horizontal="center" vertical="center" wrapText="1"/>
    </xf>
    <xf numFmtId="0" fontId="9" fillId="17" borderId="1" xfId="0" applyFont="1" applyFill="1" applyBorder="1" applyAlignment="1">
      <alignment horizontal="center" vertical="center"/>
    </xf>
    <xf numFmtId="0" fontId="7" fillId="18" borderId="1" xfId="4" applyFont="1" applyFill="1" applyBorder="1" applyAlignment="1">
      <alignment horizontal="center" vertical="center"/>
    </xf>
    <xf numFmtId="0" fontId="9" fillId="17" borderId="2" xfId="0" applyFont="1" applyFill="1" applyBorder="1" applyAlignment="1">
      <alignment horizontal="center" vertical="center" wrapText="1"/>
    </xf>
    <xf numFmtId="0" fontId="8" fillId="13" borderId="34" xfId="0" applyFont="1" applyFill="1" applyBorder="1" applyAlignment="1">
      <alignment horizontal="left"/>
    </xf>
    <xf numFmtId="166" fontId="14" fillId="0" borderId="27" xfId="1" applyNumberFormat="1" applyFont="1" applyBorder="1" applyAlignment="1">
      <alignment horizontal="left" wrapText="1"/>
    </xf>
    <xf numFmtId="166" fontId="14" fillId="0" borderId="10" xfId="1" applyNumberFormat="1" applyFont="1" applyBorder="1" applyAlignment="1">
      <alignment horizontal="left" wrapText="1"/>
    </xf>
    <xf numFmtId="166" fontId="14" fillId="0" borderId="10" xfId="1" applyNumberFormat="1" applyFont="1" applyBorder="1"/>
    <xf numFmtId="166" fontId="14" fillId="0" borderId="11" xfId="1" applyNumberFormat="1" applyFont="1" applyBorder="1"/>
    <xf numFmtId="166" fontId="7" fillId="0" borderId="1" xfId="2" applyNumberFormat="1" applyFont="1" applyFill="1" applyBorder="1"/>
    <xf numFmtId="4" fontId="17" fillId="2" borderId="1" xfId="0" applyNumberFormat="1" applyFont="1" applyFill="1" applyBorder="1" applyAlignment="1">
      <alignment horizontal="center" vertical="center"/>
    </xf>
    <xf numFmtId="3" fontId="17" fillId="6" borderId="6" xfId="0" applyNumberFormat="1" applyFont="1" applyFill="1" applyBorder="1" applyAlignment="1">
      <alignment horizontal="center" vertical="center"/>
    </xf>
    <xf numFmtId="3" fontId="17" fillId="2" borderId="1" xfId="0" applyNumberFormat="1" applyFont="1" applyFill="1" applyBorder="1" applyAlignment="1">
      <alignment horizontal="center" vertical="center"/>
    </xf>
    <xf numFmtId="168" fontId="17" fillId="6" borderId="6" xfId="0" applyNumberFormat="1" applyFont="1" applyFill="1" applyBorder="1" applyAlignment="1">
      <alignment horizontal="center" vertical="center"/>
    </xf>
    <xf numFmtId="2" fontId="17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168" fontId="17" fillId="2" borderId="1" xfId="0" applyNumberFormat="1" applyFont="1" applyFill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1" fontId="17" fillId="2" borderId="1" xfId="0" applyNumberFormat="1" applyFont="1" applyFill="1" applyBorder="1" applyAlignment="1">
      <alignment horizontal="center" vertical="center"/>
    </xf>
    <xf numFmtId="3" fontId="17" fillId="0" borderId="1" xfId="0" applyNumberFormat="1" applyFont="1" applyBorder="1" applyAlignment="1">
      <alignment horizontal="center" vertical="center"/>
    </xf>
    <xf numFmtId="3" fontId="17" fillId="6" borderId="1" xfId="0" applyNumberFormat="1" applyFont="1" applyFill="1" applyBorder="1" applyAlignment="1">
      <alignment horizontal="center" vertical="center"/>
    </xf>
    <xf numFmtId="4" fontId="17" fillId="0" borderId="1" xfId="0" applyNumberFormat="1" applyFont="1" applyBorder="1" applyAlignment="1">
      <alignment horizontal="center" vertical="center"/>
    </xf>
    <xf numFmtId="167" fontId="17" fillId="6" borderId="1" xfId="0" applyNumberFormat="1" applyFont="1" applyFill="1" applyBorder="1" applyAlignment="1">
      <alignment horizontal="center" vertical="center"/>
    </xf>
  </cellXfs>
  <cellStyles count="6">
    <cellStyle name="Ezres" xfId="1" builtinId="3"/>
    <cellStyle name="Ezres 2" xfId="2" xr:uid="{00000000-0005-0000-0000-000001000000}"/>
    <cellStyle name="Jó" xfId="4" builtinId="26"/>
    <cellStyle name="Normál" xfId="0" builtinId="0"/>
    <cellStyle name="Normál 4" xfId="3" xr:uid="{00000000-0005-0000-0000-000004000000}"/>
    <cellStyle name="Rossz" xfId="5" builtinId="27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fejloszt/Megosztott%20dokumentumok/2021-2027/Strategiai_dokumentumok/ITP/ITP_230217/ITPmell&#233;klet_2301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fejloszt/Megosztott%20dokumentumok/2021-2027/Strategiai_dokumentumok/ITP/ITP_20241129/GYMS%20_ITP2024II_h&#225;tt&#233;rt&#225;b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forrasösszesítő"/>
      <sheetName val="2. forrásösszesítő-FVS"/>
      <sheetName val="4. intézkedések"/>
      <sheetName val="6. Indikátor - vármegye"/>
      <sheetName val="7. Indikátor - FVS"/>
      <sheetName val=" 8. ütemezés"/>
    </sheetNames>
    <sheetDataSet>
      <sheetData sheetId="0">
        <row r="2">
          <cell r="B2"/>
        </row>
        <row r="37">
          <cell r="F37">
            <v>0</v>
          </cell>
        </row>
        <row r="40">
          <cell r="F40"/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rástábla"/>
      <sheetName val="FVS"/>
      <sheetName val="6. Indikátor - vármegye"/>
      <sheetName val="Munka3"/>
    </sheetNames>
    <sheetDataSet>
      <sheetData sheetId="0">
        <row r="4">
          <cell r="E4">
            <v>1.0339934220880227</v>
          </cell>
        </row>
        <row r="10">
          <cell r="E10">
            <v>0.92000000008613403</v>
          </cell>
        </row>
        <row r="22">
          <cell r="E22">
            <v>1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2"/>
  <sheetViews>
    <sheetView tabSelected="1" view="pageBreakPreview" topLeftCell="D9" zoomScale="86" zoomScaleNormal="100" zoomScaleSheetLayoutView="70" workbookViewId="0">
      <selection activeCell="H24" sqref="H24"/>
    </sheetView>
  </sheetViews>
  <sheetFormatPr defaultColWidth="0" defaultRowHeight="18.75" customHeight="1" x14ac:dyDescent="0.2"/>
  <cols>
    <col min="1" max="1" width="16.7109375" style="19" customWidth="1"/>
    <col min="2" max="2" width="19.42578125" style="20" customWidth="1"/>
    <col min="3" max="3" width="28.42578125" style="21" customWidth="1"/>
    <col min="4" max="4" width="19.42578125" style="22" customWidth="1"/>
    <col min="5" max="5" width="46.7109375" style="21" customWidth="1"/>
    <col min="6" max="6" width="31.28515625" style="17" customWidth="1"/>
    <col min="7" max="7" width="24.42578125" style="17" customWidth="1"/>
    <col min="8" max="8" width="26.85546875" style="18" customWidth="1"/>
    <col min="9" max="14" width="27" style="18" customWidth="1"/>
    <col min="15" max="15" width="28.140625" style="5" customWidth="1"/>
    <col min="16" max="16" width="9.140625" style="4" customWidth="1"/>
    <col min="17" max="17" width="0" style="5" hidden="1" customWidth="1"/>
    <col min="18" max="16384" width="9.140625" style="5" hidden="1"/>
  </cols>
  <sheetData>
    <row r="1" spans="1:16" ht="18.75" customHeight="1" x14ac:dyDescent="0.2">
      <c r="A1" s="34" t="s">
        <v>81</v>
      </c>
      <c r="B1" s="149" t="s">
        <v>246</v>
      </c>
      <c r="C1" s="1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6" ht="60" x14ac:dyDescent="0.2">
      <c r="A2" s="35" t="s">
        <v>238</v>
      </c>
      <c r="B2" s="148">
        <v>70271000000</v>
      </c>
      <c r="C2" s="6"/>
      <c r="D2" s="7"/>
      <c r="E2" s="8"/>
      <c r="F2" s="9"/>
      <c r="G2" s="9"/>
      <c r="H2" s="10"/>
      <c r="I2" s="10"/>
      <c r="J2" s="10"/>
      <c r="K2" s="10"/>
      <c r="L2" s="10"/>
      <c r="M2" s="10"/>
      <c r="N2" s="10"/>
      <c r="O2" s="11"/>
    </row>
    <row r="3" spans="1:16" ht="18.75" customHeight="1" x14ac:dyDescent="0.2">
      <c r="A3" s="12"/>
      <c r="B3" s="3"/>
      <c r="C3" s="6"/>
      <c r="D3" s="7"/>
      <c r="E3" s="8"/>
      <c r="F3" s="9"/>
      <c r="G3" s="9"/>
      <c r="H3" s="10"/>
      <c r="I3" s="10"/>
      <c r="J3" s="10"/>
      <c r="K3" s="10"/>
      <c r="L3" s="10"/>
      <c r="M3" s="10"/>
      <c r="N3" s="10"/>
      <c r="O3" s="11"/>
    </row>
    <row r="4" spans="1:16" ht="18.75" customHeight="1" x14ac:dyDescent="0.2">
      <c r="A4" s="222" t="s">
        <v>32</v>
      </c>
      <c r="B4" s="222"/>
      <c r="C4" s="6"/>
      <c r="D4" s="7"/>
      <c r="E4" s="8"/>
      <c r="F4" s="9"/>
      <c r="G4" s="9"/>
      <c r="H4" s="10"/>
      <c r="I4" s="10"/>
      <c r="J4" s="10"/>
      <c r="K4" s="10"/>
      <c r="L4" s="10"/>
      <c r="M4" s="10"/>
      <c r="N4" s="10"/>
      <c r="O4" s="11"/>
    </row>
    <row r="5" spans="1:16" ht="24" x14ac:dyDescent="0.2">
      <c r="A5" s="36"/>
      <c r="B5" s="36" t="s">
        <v>33</v>
      </c>
      <c r="C5" s="36" t="s">
        <v>34</v>
      </c>
      <c r="D5" s="36" t="s">
        <v>77</v>
      </c>
      <c r="E5" s="36" t="s">
        <v>78</v>
      </c>
      <c r="F5" s="36" t="s">
        <v>79</v>
      </c>
      <c r="G5" s="36" t="s">
        <v>80</v>
      </c>
      <c r="H5" s="36" t="s">
        <v>89</v>
      </c>
      <c r="I5" s="36" t="s">
        <v>90</v>
      </c>
      <c r="J5" s="37" t="s">
        <v>91</v>
      </c>
      <c r="K5" s="10"/>
      <c r="L5" s="10"/>
      <c r="M5" s="10"/>
      <c r="N5" s="10"/>
      <c r="O5" s="11"/>
    </row>
    <row r="6" spans="1:16" ht="18.75" customHeight="1" x14ac:dyDescent="0.2">
      <c r="A6" s="36" t="s">
        <v>82</v>
      </c>
      <c r="B6" s="146">
        <f>+B10</f>
        <v>29681403714</v>
      </c>
      <c r="C6" s="147">
        <f>+B23</f>
        <v>7016095447</v>
      </c>
      <c r="D6" s="147">
        <f>+D30+D34</f>
        <v>8499000000</v>
      </c>
      <c r="E6" s="147">
        <f>+D36+D44</f>
        <v>16111889219</v>
      </c>
      <c r="F6" s="147">
        <f>+D6+E6</f>
        <v>24610889219</v>
      </c>
      <c r="G6" s="147">
        <f>+B46</f>
        <v>8962611620</v>
      </c>
      <c r="H6" s="146">
        <f>+B6+C6+E6+G6</f>
        <v>61772000000</v>
      </c>
      <c r="I6" s="146">
        <f>+D6</f>
        <v>8499000000</v>
      </c>
      <c r="J6" s="146">
        <f>+H6+I6</f>
        <v>70271000000</v>
      </c>
      <c r="K6" s="10"/>
      <c r="L6" s="10"/>
      <c r="M6" s="10"/>
      <c r="N6" s="10"/>
      <c r="O6" s="11"/>
    </row>
    <row r="7" spans="1:16" ht="18.75" customHeight="1" x14ac:dyDescent="0.2">
      <c r="A7" s="8"/>
      <c r="B7" s="8"/>
      <c r="C7" s="8"/>
      <c r="D7" s="8"/>
      <c r="E7" s="8"/>
      <c r="F7" s="9"/>
      <c r="G7" s="9"/>
      <c r="H7" s="10"/>
      <c r="I7" s="10"/>
      <c r="J7" s="10"/>
      <c r="K7" s="10"/>
      <c r="L7" s="10"/>
      <c r="M7" s="10"/>
      <c r="N7" s="10"/>
      <c r="O7" s="11"/>
    </row>
    <row r="8" spans="1:16" ht="18.75" customHeight="1" thickBot="1" x14ac:dyDescent="0.25">
      <c r="A8" s="223" t="s">
        <v>11</v>
      </c>
      <c r="B8" s="223"/>
      <c r="C8" s="38"/>
      <c r="D8" s="39"/>
      <c r="E8" s="23"/>
      <c r="F8" s="24"/>
      <c r="G8" s="24"/>
      <c r="H8" s="25"/>
      <c r="I8" s="25"/>
      <c r="J8" s="25"/>
      <c r="K8" s="25"/>
      <c r="L8" s="25"/>
      <c r="M8" s="25"/>
      <c r="N8" s="25"/>
      <c r="O8" s="26"/>
    </row>
    <row r="9" spans="1:16" s="14" customFormat="1" ht="90.75" thickBot="1" x14ac:dyDescent="0.3">
      <c r="A9" s="41" t="s">
        <v>0</v>
      </c>
      <c r="B9" s="42" t="s">
        <v>48</v>
      </c>
      <c r="C9" s="43" t="s">
        <v>24</v>
      </c>
      <c r="D9" s="42" t="s">
        <v>35</v>
      </c>
      <c r="E9" s="43" t="s">
        <v>10</v>
      </c>
      <c r="F9" s="44" t="s">
        <v>36</v>
      </c>
      <c r="G9" s="50" t="s">
        <v>37</v>
      </c>
      <c r="H9" s="42" t="s">
        <v>239</v>
      </c>
      <c r="I9" s="42" t="s">
        <v>240</v>
      </c>
      <c r="J9" s="42" t="s">
        <v>241</v>
      </c>
      <c r="K9" s="42" t="s">
        <v>242</v>
      </c>
      <c r="L9" s="42" t="s">
        <v>317</v>
      </c>
      <c r="M9" s="42" t="s">
        <v>62</v>
      </c>
      <c r="N9" s="51" t="s">
        <v>236</v>
      </c>
      <c r="O9" s="46" t="s">
        <v>38</v>
      </c>
      <c r="P9" s="13"/>
    </row>
    <row r="10" spans="1:16" ht="32.450000000000003" customHeight="1" x14ac:dyDescent="0.2">
      <c r="A10" s="214" t="s">
        <v>83</v>
      </c>
      <c r="B10" s="211">
        <f>+D10+D12+D20</f>
        <v>29681403714</v>
      </c>
      <c r="C10" s="224" t="s">
        <v>40</v>
      </c>
      <c r="D10" s="218">
        <f>+F11</f>
        <v>0</v>
      </c>
      <c r="E10" s="40" t="s">
        <v>41</v>
      </c>
      <c r="F10" s="145"/>
      <c r="G10" s="144"/>
      <c r="H10" s="143"/>
      <c r="I10" s="143"/>
      <c r="J10" s="143"/>
      <c r="K10" s="143"/>
      <c r="L10" s="143"/>
      <c r="M10" s="143"/>
      <c r="N10" s="142"/>
      <c r="O10" s="47">
        <f>SUM(G10:N10)</f>
        <v>0</v>
      </c>
    </row>
    <row r="11" spans="1:16" ht="26.25" customHeight="1" x14ac:dyDescent="0.2">
      <c r="A11" s="214"/>
      <c r="B11" s="211"/>
      <c r="C11" s="221"/>
      <c r="D11" s="225"/>
      <c r="E11" s="28" t="s">
        <v>25</v>
      </c>
      <c r="F11" s="122">
        <f>SUM(F10:F10)</f>
        <v>0</v>
      </c>
      <c r="G11" s="121"/>
      <c r="H11" s="120">
        <f t="shared" ref="H11:N11" si="0">SUM(H10:H10)</f>
        <v>0</v>
      </c>
      <c r="I11" s="120">
        <f t="shared" si="0"/>
        <v>0</v>
      </c>
      <c r="J11" s="120">
        <f t="shared" si="0"/>
        <v>0</v>
      </c>
      <c r="K11" s="120">
        <f t="shared" si="0"/>
        <v>0</v>
      </c>
      <c r="L11" s="120">
        <f t="shared" si="0"/>
        <v>0</v>
      </c>
      <c r="M11" s="120">
        <f t="shared" si="0"/>
        <v>0</v>
      </c>
      <c r="N11" s="130">
        <f t="shared" si="0"/>
        <v>0</v>
      </c>
      <c r="O11" s="47">
        <f>SUM(G11:N11)</f>
        <v>0</v>
      </c>
    </row>
    <row r="12" spans="1:16" ht="18.75" customHeight="1" x14ac:dyDescent="0.2">
      <c r="A12" s="214"/>
      <c r="B12" s="211"/>
      <c r="C12" s="219" t="s">
        <v>1</v>
      </c>
      <c r="D12" s="225">
        <f>+F19</f>
        <v>14499814940</v>
      </c>
      <c r="E12" s="29" t="s">
        <v>2</v>
      </c>
      <c r="F12" s="129">
        <f>SUM(H12:K12)</f>
        <v>10195626874</v>
      </c>
      <c r="G12" s="121"/>
      <c r="H12" s="138">
        <f>2011973870+49477661-4024660</f>
        <v>2057426871</v>
      </c>
      <c r="I12" s="138">
        <f>2449530540+143941740-716057909</f>
        <v>1877414371</v>
      </c>
      <c r="J12" s="138">
        <f>3258578888+82854061</f>
        <v>3341432949</v>
      </c>
      <c r="K12" s="138">
        <f>3208916702+95240648-384804667</f>
        <v>2919352683</v>
      </c>
      <c r="L12" s="138"/>
      <c r="M12" s="138"/>
      <c r="N12" s="137"/>
      <c r="O12" s="47">
        <f>SUM(G12:N12)</f>
        <v>10195626874</v>
      </c>
    </row>
    <row r="13" spans="1:16" ht="18.75" customHeight="1" x14ac:dyDescent="0.2">
      <c r="A13" s="214"/>
      <c r="B13" s="211"/>
      <c r="C13" s="220"/>
      <c r="D13" s="225"/>
      <c r="E13" s="30" t="s">
        <v>12</v>
      </c>
      <c r="F13" s="125"/>
      <c r="G13" s="141"/>
      <c r="H13" s="140"/>
      <c r="I13" s="140"/>
      <c r="J13" s="140"/>
      <c r="K13" s="140"/>
      <c r="L13" s="140"/>
      <c r="M13" s="140"/>
      <c r="N13" s="139"/>
      <c r="O13" s="48"/>
    </row>
    <row r="14" spans="1:16" ht="18.75" customHeight="1" x14ac:dyDescent="0.2">
      <c r="A14" s="214"/>
      <c r="B14" s="211"/>
      <c r="C14" s="220"/>
      <c r="D14" s="225"/>
      <c r="E14" s="30" t="s">
        <v>5</v>
      </c>
      <c r="F14" s="125">
        <v>4000000000</v>
      </c>
      <c r="G14" s="141"/>
      <c r="H14" s="140"/>
      <c r="I14" s="140"/>
      <c r="J14" s="140"/>
      <c r="K14" s="140"/>
      <c r="L14" s="140"/>
      <c r="M14" s="140"/>
      <c r="N14" s="139"/>
      <c r="O14" s="48"/>
    </row>
    <row r="15" spans="1:16" ht="18.75" customHeight="1" x14ac:dyDescent="0.2">
      <c r="A15" s="214"/>
      <c r="B15" s="211"/>
      <c r="C15" s="220"/>
      <c r="D15" s="225"/>
      <c r="E15" s="30" t="s">
        <v>6</v>
      </c>
      <c r="F15" s="125">
        <v>3000000000</v>
      </c>
      <c r="G15" s="141"/>
      <c r="H15" s="140"/>
      <c r="I15" s="140"/>
      <c r="J15" s="140"/>
      <c r="K15" s="140"/>
      <c r="L15" s="140"/>
      <c r="M15" s="140"/>
      <c r="N15" s="139"/>
      <c r="O15" s="48"/>
    </row>
    <row r="16" spans="1:16" ht="18.75" customHeight="1" x14ac:dyDescent="0.2">
      <c r="A16" s="214"/>
      <c r="B16" s="211"/>
      <c r="C16" s="220"/>
      <c r="D16" s="225"/>
      <c r="E16" s="27" t="s">
        <v>42</v>
      </c>
      <c r="F16" s="129"/>
      <c r="G16" s="121"/>
      <c r="H16" s="138"/>
      <c r="I16" s="138"/>
      <c r="J16" s="138"/>
      <c r="K16" s="138"/>
      <c r="L16" s="138"/>
      <c r="M16" s="138"/>
      <c r="N16" s="137"/>
      <c r="O16" s="47">
        <f>SUM(G16:N16)</f>
        <v>0</v>
      </c>
    </row>
    <row r="17" spans="1:15" ht="18.75" customHeight="1" x14ac:dyDescent="0.2">
      <c r="A17" s="214"/>
      <c r="B17" s="211"/>
      <c r="C17" s="220"/>
      <c r="D17" s="225"/>
      <c r="E17" s="31" t="s">
        <v>13</v>
      </c>
      <c r="F17" s="129">
        <f>SUM(H17:K17)</f>
        <v>4304188066</v>
      </c>
      <c r="G17" s="121"/>
      <c r="H17" s="138">
        <f>568654950+4024660</f>
        <v>572679610</v>
      </c>
      <c r="I17" s="138">
        <f>763919845-103261</f>
        <v>763816584</v>
      </c>
      <c r="J17" s="138">
        <v>1577893163</v>
      </c>
      <c r="K17" s="138">
        <f>1004994042+384804667</f>
        <v>1389798709</v>
      </c>
      <c r="L17" s="138"/>
      <c r="M17" s="138"/>
      <c r="N17" s="137"/>
      <c r="O17" s="47">
        <f>SUM(G17:N17)</f>
        <v>4304188066</v>
      </c>
    </row>
    <row r="18" spans="1:15" ht="24" x14ac:dyDescent="0.2">
      <c r="A18" s="214"/>
      <c r="B18" s="211"/>
      <c r="C18" s="220"/>
      <c r="D18" s="225"/>
      <c r="E18" s="31" t="s">
        <v>61</v>
      </c>
      <c r="F18" s="129"/>
      <c r="G18" s="121"/>
      <c r="H18" s="138"/>
      <c r="I18" s="138"/>
      <c r="J18" s="138"/>
      <c r="K18" s="138"/>
      <c r="L18" s="138"/>
      <c r="M18" s="138"/>
      <c r="N18" s="137"/>
      <c r="O18" s="47">
        <f>SUM(H18:N18)</f>
        <v>0</v>
      </c>
    </row>
    <row r="19" spans="1:15" ht="18.75" customHeight="1" x14ac:dyDescent="0.2">
      <c r="A19" s="214"/>
      <c r="B19" s="211"/>
      <c r="C19" s="221"/>
      <c r="D19" s="225"/>
      <c r="E19" s="28" t="s">
        <v>26</v>
      </c>
      <c r="F19" s="122">
        <f>+F12+F16+F17+F18</f>
        <v>14499814940</v>
      </c>
      <c r="G19" s="121"/>
      <c r="H19" s="120">
        <f>+H16+H12+H17+H18</f>
        <v>2630106481</v>
      </c>
      <c r="I19" s="120">
        <f t="shared" ref="I19:N19" si="1">+I16+I12+I17+I18</f>
        <v>2641230955</v>
      </c>
      <c r="J19" s="120">
        <f t="shared" si="1"/>
        <v>4919326112</v>
      </c>
      <c r="K19" s="120">
        <f t="shared" si="1"/>
        <v>4309151392</v>
      </c>
      <c r="L19" s="120">
        <f t="shared" si="1"/>
        <v>0</v>
      </c>
      <c r="M19" s="120">
        <f t="shared" si="1"/>
        <v>0</v>
      </c>
      <c r="N19" s="130">
        <f t="shared" si="1"/>
        <v>0</v>
      </c>
      <c r="O19" s="47">
        <f t="shared" ref="O19:O36" si="2">SUM(G19:N19)</f>
        <v>14499814940</v>
      </c>
    </row>
    <row r="20" spans="1:15" ht="18.75" customHeight="1" x14ac:dyDescent="0.2">
      <c r="A20" s="214"/>
      <c r="B20" s="211"/>
      <c r="C20" s="219" t="s">
        <v>17</v>
      </c>
      <c r="D20" s="216">
        <f>+F22</f>
        <v>15181588774</v>
      </c>
      <c r="E20" s="29" t="s">
        <v>18</v>
      </c>
      <c r="F20" s="125">
        <f>'2. forrásösszesítő-FVS'!B7</f>
        <v>227852793</v>
      </c>
      <c r="G20" s="119">
        <f>+F20</f>
        <v>227852793</v>
      </c>
      <c r="H20" s="136"/>
      <c r="I20" s="135"/>
      <c r="J20" s="135"/>
      <c r="K20" s="135"/>
      <c r="L20" s="135"/>
      <c r="M20" s="135"/>
      <c r="N20" s="134"/>
      <c r="O20" s="47">
        <f t="shared" si="2"/>
        <v>227852793</v>
      </c>
    </row>
    <row r="21" spans="1:15" ht="18.75" customHeight="1" x14ac:dyDescent="0.2">
      <c r="A21" s="214"/>
      <c r="B21" s="211"/>
      <c r="C21" s="220"/>
      <c r="D21" s="217"/>
      <c r="E21" s="29" t="s">
        <v>43</v>
      </c>
      <c r="F21" s="125">
        <f>'2. forrásösszesítő-FVS'!C7</f>
        <v>14953735981</v>
      </c>
      <c r="G21" s="119">
        <f>+F21</f>
        <v>14953735981</v>
      </c>
      <c r="H21" s="136"/>
      <c r="I21" s="135"/>
      <c r="J21" s="135"/>
      <c r="K21" s="135"/>
      <c r="L21" s="135"/>
      <c r="M21" s="135"/>
      <c r="N21" s="134"/>
      <c r="O21" s="47">
        <f t="shared" si="2"/>
        <v>14953735981</v>
      </c>
    </row>
    <row r="22" spans="1:15" ht="18.75" customHeight="1" x14ac:dyDescent="0.2">
      <c r="A22" s="215"/>
      <c r="B22" s="212"/>
      <c r="C22" s="221"/>
      <c r="D22" s="218"/>
      <c r="E22" s="28" t="s">
        <v>27</v>
      </c>
      <c r="F22" s="122">
        <f>SUM(F20:F21)</f>
        <v>15181588774</v>
      </c>
      <c r="G22" s="128">
        <f>SUM(G20:G21)</f>
        <v>15181588774</v>
      </c>
      <c r="H22" s="136"/>
      <c r="I22" s="135"/>
      <c r="J22" s="135"/>
      <c r="K22" s="135"/>
      <c r="L22" s="135"/>
      <c r="M22" s="135"/>
      <c r="N22" s="134"/>
      <c r="O22" s="47">
        <f t="shared" si="2"/>
        <v>15181588774</v>
      </c>
    </row>
    <row r="23" spans="1:15" ht="18.75" customHeight="1" x14ac:dyDescent="0.2">
      <c r="A23" s="213" t="s">
        <v>84</v>
      </c>
      <c r="B23" s="210">
        <f>+D23</f>
        <v>7016095447</v>
      </c>
      <c r="C23" s="219" t="s">
        <v>87</v>
      </c>
      <c r="D23" s="216">
        <f>+F29</f>
        <v>7016095447</v>
      </c>
      <c r="E23" s="27" t="s">
        <v>19</v>
      </c>
      <c r="F23" s="125">
        <f>SUM(H23:K23)</f>
        <v>4272412270</v>
      </c>
      <c r="G23" s="121">
        <v>0</v>
      </c>
      <c r="H23" s="127">
        <f>618470771-49477661</f>
        <v>568993110</v>
      </c>
      <c r="I23" s="138">
        <f>1799271746-143941740</f>
        <v>1655330006</v>
      </c>
      <c r="J23" s="127">
        <f>1035675767-82854061</f>
        <v>952821706</v>
      </c>
      <c r="K23" s="127">
        <f>1190508096-95240648</f>
        <v>1095267448</v>
      </c>
      <c r="L23" s="127"/>
      <c r="M23" s="127"/>
      <c r="N23" s="126"/>
      <c r="O23" s="47">
        <f t="shared" si="2"/>
        <v>4272412270</v>
      </c>
    </row>
    <row r="24" spans="1:15" ht="18.75" customHeight="1" x14ac:dyDescent="0.2">
      <c r="A24" s="214"/>
      <c r="B24" s="211"/>
      <c r="C24" s="220"/>
      <c r="D24" s="217"/>
      <c r="E24" s="27" t="s">
        <v>20</v>
      </c>
      <c r="F24" s="125">
        <f>'2. forrásösszesítő-FVS'!D7</f>
        <v>0</v>
      </c>
      <c r="G24" s="119">
        <f>+F24</f>
        <v>0</v>
      </c>
      <c r="H24" s="118"/>
      <c r="I24" s="118"/>
      <c r="J24" s="118"/>
      <c r="K24" s="118"/>
      <c r="L24" s="118"/>
      <c r="M24" s="118"/>
      <c r="N24" s="117"/>
      <c r="O24" s="47">
        <f t="shared" si="2"/>
        <v>0</v>
      </c>
    </row>
    <row r="25" spans="1:15" ht="24" x14ac:dyDescent="0.2">
      <c r="A25" s="214"/>
      <c r="B25" s="211"/>
      <c r="C25" s="220"/>
      <c r="D25" s="217"/>
      <c r="E25" s="45" t="s">
        <v>316</v>
      </c>
      <c r="F25" s="118">
        <v>0</v>
      </c>
      <c r="G25" s="118"/>
      <c r="H25" s="118"/>
      <c r="I25" s="118"/>
      <c r="J25" s="118"/>
      <c r="K25" s="118"/>
      <c r="L25" s="118"/>
      <c r="M25" s="118"/>
      <c r="N25" s="118"/>
      <c r="O25" s="47">
        <f>SUM(G25:N25)</f>
        <v>0</v>
      </c>
    </row>
    <row r="26" spans="1:15" ht="24" x14ac:dyDescent="0.2">
      <c r="A26" s="214"/>
      <c r="B26" s="211"/>
      <c r="C26" s="220"/>
      <c r="D26" s="217"/>
      <c r="E26" s="45" t="s">
        <v>310</v>
      </c>
      <c r="F26" s="125">
        <f>SUM(H26:K26)</f>
        <v>440000000</v>
      </c>
      <c r="G26" s="121"/>
      <c r="H26" s="127"/>
      <c r="I26" s="127"/>
      <c r="J26" s="127"/>
      <c r="K26" s="138">
        <v>440000000</v>
      </c>
      <c r="L26" s="127"/>
      <c r="M26" s="127"/>
      <c r="N26" s="126"/>
      <c r="O26" s="47">
        <f t="shared" si="2"/>
        <v>440000000</v>
      </c>
    </row>
    <row r="27" spans="1:15" ht="24" x14ac:dyDescent="0.2">
      <c r="A27" s="214"/>
      <c r="B27" s="211"/>
      <c r="C27" s="220"/>
      <c r="D27" s="217"/>
      <c r="E27" s="45" t="s">
        <v>315</v>
      </c>
      <c r="F27" s="121">
        <v>0</v>
      </c>
      <c r="G27" s="121"/>
      <c r="H27" s="121"/>
      <c r="I27" s="121"/>
      <c r="J27" s="121"/>
      <c r="K27" s="121"/>
      <c r="L27" s="121"/>
      <c r="M27" s="121"/>
      <c r="N27" s="121"/>
      <c r="O27" s="47">
        <f t="shared" si="2"/>
        <v>0</v>
      </c>
    </row>
    <row r="28" spans="1:15" ht="18.75" customHeight="1" x14ac:dyDescent="0.2">
      <c r="A28" s="214"/>
      <c r="B28" s="211"/>
      <c r="C28" s="220"/>
      <c r="D28" s="217"/>
      <c r="E28" s="27" t="s">
        <v>314</v>
      </c>
      <c r="F28" s="125">
        <f>'2. forrásösszesítő-FVS'!E7</f>
        <v>2303683177</v>
      </c>
      <c r="G28" s="119">
        <f>+F28</f>
        <v>2303683177</v>
      </c>
      <c r="H28" s="118"/>
      <c r="I28" s="118"/>
      <c r="J28" s="118"/>
      <c r="K28" s="118"/>
      <c r="L28" s="118"/>
      <c r="M28" s="118"/>
      <c r="N28" s="117"/>
      <c r="O28" s="47">
        <f t="shared" si="2"/>
        <v>2303683177</v>
      </c>
    </row>
    <row r="29" spans="1:15" ht="18.75" customHeight="1" x14ac:dyDescent="0.2">
      <c r="A29" s="215"/>
      <c r="B29" s="212"/>
      <c r="C29" s="221"/>
      <c r="D29" s="218"/>
      <c r="E29" s="28" t="s">
        <v>28</v>
      </c>
      <c r="F29" s="122">
        <f>SUM(F23:F28)</f>
        <v>7016095447</v>
      </c>
      <c r="G29" s="128">
        <f>+G24+G28</f>
        <v>2303683177</v>
      </c>
      <c r="H29" s="133">
        <f t="shared" ref="H29:N29" si="3">+H23+H25</f>
        <v>568993110</v>
      </c>
      <c r="I29" s="133">
        <f t="shared" si="3"/>
        <v>1655330006</v>
      </c>
      <c r="J29" s="133">
        <f t="shared" si="3"/>
        <v>952821706</v>
      </c>
      <c r="K29" s="133">
        <f>+K23+K26</f>
        <v>1535267448</v>
      </c>
      <c r="L29" s="133">
        <f t="shared" si="3"/>
        <v>0</v>
      </c>
      <c r="M29" s="133">
        <f t="shared" si="3"/>
        <v>0</v>
      </c>
      <c r="N29" s="133">
        <f t="shared" si="3"/>
        <v>0</v>
      </c>
      <c r="O29" s="47">
        <f t="shared" si="2"/>
        <v>7016095447</v>
      </c>
    </row>
    <row r="30" spans="1:15" ht="24" customHeight="1" x14ac:dyDescent="0.2">
      <c r="A30" s="213" t="s">
        <v>85</v>
      </c>
      <c r="B30" s="210">
        <f>+D30+D34+D36+D44</f>
        <v>24610889219</v>
      </c>
      <c r="C30" s="219" t="s">
        <v>88</v>
      </c>
      <c r="D30" s="216">
        <f>+F33</f>
        <v>7116799000</v>
      </c>
      <c r="E30" s="27" t="s">
        <v>21</v>
      </c>
      <c r="F30" s="125">
        <f>SUM(H30:L30)</f>
        <v>3147000000</v>
      </c>
      <c r="G30" s="121"/>
      <c r="H30" s="127">
        <v>0</v>
      </c>
      <c r="I30" s="127">
        <v>0</v>
      </c>
      <c r="J30" s="127">
        <v>0</v>
      </c>
      <c r="K30" s="127">
        <v>0</v>
      </c>
      <c r="L30" s="127">
        <v>3147000000</v>
      </c>
      <c r="M30" s="127"/>
      <c r="N30" s="126"/>
      <c r="O30" s="47">
        <f t="shared" si="2"/>
        <v>3147000000</v>
      </c>
    </row>
    <row r="31" spans="1:15" ht="18.75" customHeight="1" x14ac:dyDescent="0.2">
      <c r="A31" s="214"/>
      <c r="B31" s="211"/>
      <c r="C31" s="220"/>
      <c r="D31" s="217"/>
      <c r="E31" s="27" t="s">
        <v>46</v>
      </c>
      <c r="F31" s="125">
        <f>SUM(H31:L31)</f>
        <v>40000000</v>
      </c>
      <c r="G31" s="121"/>
      <c r="H31" s="127">
        <v>0</v>
      </c>
      <c r="I31" s="127">
        <v>0</v>
      </c>
      <c r="J31" s="127">
        <v>0</v>
      </c>
      <c r="K31" s="127">
        <v>40000000</v>
      </c>
      <c r="L31" s="127">
        <v>0</v>
      </c>
      <c r="M31" s="127"/>
      <c r="N31" s="126"/>
      <c r="O31" s="47">
        <f t="shared" si="2"/>
        <v>40000000</v>
      </c>
    </row>
    <row r="32" spans="1:15" ht="18.75" customHeight="1" x14ac:dyDescent="0.2">
      <c r="A32" s="214"/>
      <c r="B32" s="211"/>
      <c r="C32" s="220"/>
      <c r="D32" s="217"/>
      <c r="E32" s="27" t="s">
        <v>22</v>
      </c>
      <c r="F32" s="125">
        <f>SUM(H32:L32)</f>
        <v>3929799000</v>
      </c>
      <c r="G32" s="121"/>
      <c r="H32" s="127">
        <v>357299930</v>
      </c>
      <c r="I32" s="127">
        <v>428752427</v>
      </c>
      <c r="J32" s="127">
        <v>548649768</v>
      </c>
      <c r="K32" s="127">
        <v>630672273</v>
      </c>
      <c r="L32" s="138">
        <v>1964424602</v>
      </c>
      <c r="M32" s="127"/>
      <c r="N32" s="126"/>
      <c r="O32" s="47">
        <f t="shared" si="2"/>
        <v>3929799000</v>
      </c>
    </row>
    <row r="33" spans="1:16" ht="18.75" customHeight="1" x14ac:dyDescent="0.2">
      <c r="A33" s="214"/>
      <c r="B33" s="211"/>
      <c r="C33" s="221"/>
      <c r="D33" s="218"/>
      <c r="E33" s="28" t="s">
        <v>29</v>
      </c>
      <c r="F33" s="122">
        <f>+F30+F31+F32</f>
        <v>7116799000</v>
      </c>
      <c r="G33" s="121"/>
      <c r="H33" s="120">
        <f t="shared" ref="H33:N33" si="4">SUM(H30:H32)</f>
        <v>357299930</v>
      </c>
      <c r="I33" s="120">
        <f t="shared" si="4"/>
        <v>428752427</v>
      </c>
      <c r="J33" s="120">
        <f t="shared" si="4"/>
        <v>548649768</v>
      </c>
      <c r="K33" s="120">
        <f t="shared" si="4"/>
        <v>670672273</v>
      </c>
      <c r="L33" s="120">
        <f t="shared" si="4"/>
        <v>5111424602</v>
      </c>
      <c r="M33" s="120">
        <f t="shared" si="4"/>
        <v>0</v>
      </c>
      <c r="N33" s="130">
        <f t="shared" si="4"/>
        <v>0</v>
      </c>
      <c r="O33" s="47">
        <f t="shared" si="2"/>
        <v>7116799000</v>
      </c>
    </row>
    <row r="34" spans="1:16" s="16" customFormat="1" ht="18.75" customHeight="1" x14ac:dyDescent="0.2">
      <c r="A34" s="214"/>
      <c r="B34" s="211"/>
      <c r="C34" s="219" t="s">
        <v>4</v>
      </c>
      <c r="D34" s="216">
        <f>+F35</f>
        <v>1382201000</v>
      </c>
      <c r="E34" s="32" t="s">
        <v>23</v>
      </c>
      <c r="F34" s="125">
        <f>'2. forrásösszesítő-FVS'!F7</f>
        <v>1382201000</v>
      </c>
      <c r="G34" s="119">
        <f>+F34</f>
        <v>1382201000</v>
      </c>
      <c r="H34" s="118"/>
      <c r="I34" s="118"/>
      <c r="J34" s="118"/>
      <c r="K34" s="118"/>
      <c r="L34" s="118"/>
      <c r="M34" s="118"/>
      <c r="N34" s="117"/>
      <c r="O34" s="47">
        <f t="shared" si="2"/>
        <v>1382201000</v>
      </c>
      <c r="P34" s="15"/>
    </row>
    <row r="35" spans="1:16" s="16" customFormat="1" ht="18.75" customHeight="1" x14ac:dyDescent="0.2">
      <c r="A35" s="214"/>
      <c r="B35" s="211"/>
      <c r="C35" s="221"/>
      <c r="D35" s="218"/>
      <c r="E35" s="33" t="s">
        <v>30</v>
      </c>
      <c r="F35" s="122">
        <f>SUM(F34:F34)</f>
        <v>1382201000</v>
      </c>
      <c r="G35" s="128">
        <f>+G34</f>
        <v>1382201000</v>
      </c>
      <c r="H35" s="118"/>
      <c r="I35" s="118"/>
      <c r="J35" s="118"/>
      <c r="K35" s="118"/>
      <c r="L35" s="118"/>
      <c r="M35" s="118"/>
      <c r="N35" s="117"/>
      <c r="O35" s="47">
        <f t="shared" si="2"/>
        <v>1382201000</v>
      </c>
      <c r="P35" s="15"/>
    </row>
    <row r="36" spans="1:16" ht="24" x14ac:dyDescent="0.2">
      <c r="A36" s="214"/>
      <c r="B36" s="211"/>
      <c r="C36" s="219" t="s">
        <v>16</v>
      </c>
      <c r="D36" s="216">
        <f>+F43</f>
        <v>10328845799</v>
      </c>
      <c r="E36" s="29" t="s">
        <v>14</v>
      </c>
      <c r="F36" s="129">
        <f>SUM(H36:K36)</f>
        <v>3736720095</v>
      </c>
      <c r="G36" s="121"/>
      <c r="H36" s="124">
        <v>637030139</v>
      </c>
      <c r="I36" s="185">
        <f>764661795-48615067-257316201</f>
        <v>458730527</v>
      </c>
      <c r="J36" s="185">
        <f>1478493624+37489363</f>
        <v>1515982987</v>
      </c>
      <c r="K36" s="124">
        <v>1124976442</v>
      </c>
      <c r="L36" s="124"/>
      <c r="M36" s="124"/>
      <c r="N36" s="123"/>
      <c r="O36" s="47">
        <f t="shared" si="2"/>
        <v>3736720095</v>
      </c>
    </row>
    <row r="37" spans="1:16" ht="18.75" customHeight="1" x14ac:dyDescent="0.2">
      <c r="A37" s="214"/>
      <c r="B37" s="211"/>
      <c r="C37" s="220"/>
      <c r="D37" s="217"/>
      <c r="E37" s="30" t="s">
        <v>39</v>
      </c>
      <c r="F37" s="125">
        <v>1000000000</v>
      </c>
      <c r="G37" s="121"/>
      <c r="H37" s="132"/>
      <c r="I37" s="132"/>
      <c r="J37" s="132"/>
      <c r="K37" s="132"/>
      <c r="L37" s="132"/>
      <c r="M37" s="132"/>
      <c r="N37" s="131"/>
      <c r="O37" s="49"/>
    </row>
    <row r="38" spans="1:16" ht="18.75" customHeight="1" x14ac:dyDescent="0.2">
      <c r="A38" s="214"/>
      <c r="B38" s="211"/>
      <c r="C38" s="220"/>
      <c r="D38" s="217"/>
      <c r="E38" s="30" t="s">
        <v>9</v>
      </c>
      <c r="F38" s="125">
        <v>3005162000</v>
      </c>
      <c r="G38" s="121"/>
      <c r="H38" s="132"/>
      <c r="I38" s="132"/>
      <c r="J38" s="132"/>
      <c r="K38" s="132"/>
      <c r="L38" s="132"/>
      <c r="M38" s="132"/>
      <c r="N38" s="131"/>
      <c r="O38" s="49"/>
    </row>
    <row r="39" spans="1:16" ht="18.75" customHeight="1" x14ac:dyDescent="0.2">
      <c r="A39" s="214"/>
      <c r="B39" s="211"/>
      <c r="C39" s="220"/>
      <c r="D39" s="217"/>
      <c r="E39" s="27" t="s">
        <v>15</v>
      </c>
      <c r="F39" s="129">
        <v>3511125704</v>
      </c>
      <c r="G39" s="121"/>
      <c r="H39" s="124">
        <v>727189548</v>
      </c>
      <c r="I39" s="185">
        <f>894233159+48615067</f>
        <v>942848226</v>
      </c>
      <c r="J39" s="185">
        <f>610933845-37489363</f>
        <v>573444482</v>
      </c>
      <c r="K39" s="124">
        <f>1267643448</f>
        <v>1267643448</v>
      </c>
      <c r="L39" s="124"/>
      <c r="M39" s="124"/>
      <c r="N39" s="123"/>
      <c r="O39" s="47">
        <f>SUM(G39:N39)</f>
        <v>3511125704</v>
      </c>
    </row>
    <row r="40" spans="1:16" ht="18.75" customHeight="1" x14ac:dyDescent="0.2">
      <c r="A40" s="214"/>
      <c r="B40" s="211"/>
      <c r="C40" s="220"/>
      <c r="D40" s="217"/>
      <c r="E40" s="30" t="s">
        <v>7</v>
      </c>
      <c r="F40" s="125">
        <v>2000000000</v>
      </c>
      <c r="G40" s="121"/>
      <c r="H40" s="132"/>
      <c r="I40" s="132"/>
      <c r="J40" s="132"/>
      <c r="K40" s="132"/>
      <c r="L40" s="132"/>
      <c r="M40" s="132"/>
      <c r="N40" s="131"/>
      <c r="O40" s="49"/>
    </row>
    <row r="41" spans="1:16" ht="18.75" customHeight="1" x14ac:dyDescent="0.2">
      <c r="A41" s="214"/>
      <c r="B41" s="211"/>
      <c r="C41" s="220"/>
      <c r="D41" s="217"/>
      <c r="E41" s="30" t="s">
        <v>8</v>
      </c>
      <c r="F41" s="125">
        <v>1500000000</v>
      </c>
      <c r="G41" s="121"/>
      <c r="H41" s="132"/>
      <c r="I41" s="132"/>
      <c r="J41" s="132"/>
      <c r="K41" s="132"/>
      <c r="L41" s="132"/>
      <c r="M41" s="132"/>
      <c r="N41" s="131"/>
      <c r="O41" s="49"/>
    </row>
    <row r="42" spans="1:16" ht="18.75" customHeight="1" x14ac:dyDescent="0.2">
      <c r="A42" s="214"/>
      <c r="B42" s="211"/>
      <c r="C42" s="220"/>
      <c r="D42" s="217"/>
      <c r="E42" s="27" t="s">
        <v>49</v>
      </c>
      <c r="F42" s="129">
        <v>3081000000</v>
      </c>
      <c r="G42" s="121"/>
      <c r="H42" s="124">
        <v>510000000</v>
      </c>
      <c r="I42" s="124"/>
      <c r="J42" s="124"/>
      <c r="K42" s="124">
        <v>0</v>
      </c>
      <c r="L42" s="124">
        <v>2571000000</v>
      </c>
      <c r="M42" s="124">
        <v>0</v>
      </c>
      <c r="N42" s="124">
        <v>0</v>
      </c>
      <c r="O42" s="47">
        <f t="shared" ref="O42:O52" si="5">SUM(G42:N42)</f>
        <v>3081000000</v>
      </c>
    </row>
    <row r="43" spans="1:16" s="4" customFormat="1" ht="18.75" customHeight="1" x14ac:dyDescent="0.2">
      <c r="A43" s="214"/>
      <c r="B43" s="211"/>
      <c r="C43" s="221"/>
      <c r="D43" s="218"/>
      <c r="E43" s="28" t="s">
        <v>31</v>
      </c>
      <c r="F43" s="122">
        <f>F39+F36+F42</f>
        <v>10328845799</v>
      </c>
      <c r="G43" s="121">
        <f>SUM(G36:G41)</f>
        <v>0</v>
      </c>
      <c r="H43" s="120">
        <f t="shared" ref="H43:N43" si="6">SUM(H36:H42)</f>
        <v>1874219687</v>
      </c>
      <c r="I43" s="120">
        <f t="shared" si="6"/>
        <v>1401578753</v>
      </c>
      <c r="J43" s="120">
        <f t="shared" si="6"/>
        <v>2089427469</v>
      </c>
      <c r="K43" s="120">
        <f t="shared" si="6"/>
        <v>2392619890</v>
      </c>
      <c r="L43" s="120">
        <f t="shared" si="6"/>
        <v>2571000000</v>
      </c>
      <c r="M43" s="120">
        <f t="shared" si="6"/>
        <v>0</v>
      </c>
      <c r="N43" s="130">
        <f t="shared" si="6"/>
        <v>0</v>
      </c>
      <c r="O43" s="47">
        <f t="shared" si="5"/>
        <v>10328845799</v>
      </c>
    </row>
    <row r="44" spans="1:16" s="4" customFormat="1" ht="18.75" customHeight="1" x14ac:dyDescent="0.2">
      <c r="A44" s="214"/>
      <c r="B44" s="211"/>
      <c r="C44" s="219" t="s">
        <v>47</v>
      </c>
      <c r="D44" s="216">
        <f>+F45</f>
        <v>5783043420</v>
      </c>
      <c r="E44" s="27" t="s">
        <v>50</v>
      </c>
      <c r="F44" s="129">
        <f>'2. forrásösszesítő-FVS'!G7</f>
        <v>5783043420</v>
      </c>
      <c r="G44" s="189">
        <f>+F44</f>
        <v>5783043420</v>
      </c>
      <c r="H44" s="118"/>
      <c r="I44" s="118"/>
      <c r="J44" s="118"/>
      <c r="K44" s="118"/>
      <c r="L44" s="118"/>
      <c r="M44" s="118"/>
      <c r="N44" s="117"/>
      <c r="O44" s="47">
        <f t="shared" si="5"/>
        <v>5783043420</v>
      </c>
    </row>
    <row r="45" spans="1:16" s="4" customFormat="1" ht="18.75" customHeight="1" x14ac:dyDescent="0.2">
      <c r="A45" s="215"/>
      <c r="B45" s="212"/>
      <c r="C45" s="221"/>
      <c r="D45" s="218"/>
      <c r="E45" s="28" t="s">
        <v>51</v>
      </c>
      <c r="F45" s="122">
        <f>+F44</f>
        <v>5783043420</v>
      </c>
      <c r="G45" s="128">
        <f>+G44</f>
        <v>5783043420</v>
      </c>
      <c r="H45" s="118"/>
      <c r="I45" s="118"/>
      <c r="J45" s="118"/>
      <c r="K45" s="118"/>
      <c r="L45" s="118"/>
      <c r="M45" s="118"/>
      <c r="N45" s="117"/>
      <c r="O45" s="47">
        <f t="shared" si="5"/>
        <v>5783043420</v>
      </c>
    </row>
    <row r="46" spans="1:16" s="4" customFormat="1" ht="18.75" customHeight="1" x14ac:dyDescent="0.2">
      <c r="A46" s="213" t="s">
        <v>86</v>
      </c>
      <c r="B46" s="210">
        <f>+D46+D51</f>
        <v>8962611620</v>
      </c>
      <c r="C46" s="219" t="s">
        <v>52</v>
      </c>
      <c r="D46" s="216">
        <f>+F50</f>
        <v>6212611620</v>
      </c>
      <c r="E46" s="27" t="s">
        <v>53</v>
      </c>
      <c r="F46" s="125">
        <v>1512464381</v>
      </c>
      <c r="G46" s="121"/>
      <c r="H46" s="185">
        <f>434613397-256261-100000000</f>
        <v>334357136</v>
      </c>
      <c r="I46" s="185">
        <v>218052267</v>
      </c>
      <c r="J46" s="185">
        <v>286128918</v>
      </c>
      <c r="K46" s="185">
        <f>320743418+256261</f>
        <v>320999679</v>
      </c>
      <c r="L46" s="124">
        <v>352926381</v>
      </c>
      <c r="M46" s="124"/>
      <c r="N46" s="123"/>
      <c r="O46" s="47">
        <f t="shared" si="5"/>
        <v>1512464381</v>
      </c>
    </row>
    <row r="47" spans="1:16" s="4" customFormat="1" ht="18.75" customHeight="1" x14ac:dyDescent="0.2">
      <c r="A47" s="214"/>
      <c r="B47" s="211"/>
      <c r="C47" s="220"/>
      <c r="D47" s="217"/>
      <c r="E47" s="27" t="s">
        <v>54</v>
      </c>
      <c r="F47" s="125">
        <v>802000000</v>
      </c>
      <c r="G47" s="121"/>
      <c r="H47" s="127">
        <v>0</v>
      </c>
      <c r="I47" s="127">
        <v>0</v>
      </c>
      <c r="J47" s="127">
        <v>0</v>
      </c>
      <c r="K47" s="127">
        <v>0</v>
      </c>
      <c r="L47" s="127">
        <v>802000000</v>
      </c>
      <c r="M47" s="127"/>
      <c r="N47" s="126"/>
      <c r="O47" s="47">
        <f t="shared" si="5"/>
        <v>802000000</v>
      </c>
    </row>
    <row r="48" spans="1:16" s="4" customFormat="1" ht="18.75" customHeight="1" x14ac:dyDescent="0.2">
      <c r="A48" s="214"/>
      <c r="B48" s="211"/>
      <c r="C48" s="220"/>
      <c r="D48" s="217"/>
      <c r="E48" s="27" t="s">
        <v>55</v>
      </c>
      <c r="F48" s="125">
        <v>1150000000</v>
      </c>
      <c r="G48" s="121"/>
      <c r="H48" s="127">
        <f>237138979</f>
        <v>237138979</v>
      </c>
      <c r="I48" s="127">
        <v>283598970</v>
      </c>
      <c r="J48" s="127">
        <v>362102880</v>
      </c>
      <c r="K48" s="127">
        <f>417159171-150000000</f>
        <v>267159171</v>
      </c>
      <c r="L48" s="127">
        <f>200000000-200000000</f>
        <v>0</v>
      </c>
      <c r="M48" s="127"/>
      <c r="N48" s="126"/>
      <c r="O48" s="47">
        <f t="shared" si="5"/>
        <v>1150000000</v>
      </c>
    </row>
    <row r="49" spans="1:15" s="4" customFormat="1" ht="18.75" customHeight="1" x14ac:dyDescent="0.2">
      <c r="A49" s="214"/>
      <c r="B49" s="211"/>
      <c r="C49" s="220"/>
      <c r="D49" s="217"/>
      <c r="E49" s="27" t="s">
        <v>56</v>
      </c>
      <c r="F49" s="125">
        <v>2748147239</v>
      </c>
      <c r="G49" s="121"/>
      <c r="H49" s="124">
        <v>0</v>
      </c>
      <c r="I49" s="124">
        <v>0</v>
      </c>
      <c r="J49" s="124">
        <v>0</v>
      </c>
      <c r="K49" s="124">
        <v>0</v>
      </c>
      <c r="L49" s="124">
        <f>1532098159+200000000+766049080+250000000</f>
        <v>2748147239</v>
      </c>
      <c r="M49" s="124">
        <f>766049080-766049080</f>
        <v>0</v>
      </c>
      <c r="N49" s="123"/>
      <c r="O49" s="47">
        <f t="shared" si="5"/>
        <v>2748147239</v>
      </c>
    </row>
    <row r="50" spans="1:15" s="4" customFormat="1" ht="18.75" customHeight="1" x14ac:dyDescent="0.2">
      <c r="A50" s="214"/>
      <c r="B50" s="211"/>
      <c r="C50" s="221"/>
      <c r="D50" s="218"/>
      <c r="E50" s="28" t="s">
        <v>57</v>
      </c>
      <c r="F50" s="122">
        <f>SUM(F46:F49)</f>
        <v>6212611620</v>
      </c>
      <c r="G50" s="121"/>
      <c r="H50" s="120">
        <f t="shared" ref="H50:N50" si="7">SUM(H46:H49)</f>
        <v>571496115</v>
      </c>
      <c r="I50" s="120">
        <f t="shared" si="7"/>
        <v>501651237</v>
      </c>
      <c r="J50" s="120">
        <f t="shared" si="7"/>
        <v>648231798</v>
      </c>
      <c r="K50" s="120">
        <f t="shared" si="7"/>
        <v>588158850</v>
      </c>
      <c r="L50" s="120">
        <f t="shared" si="7"/>
        <v>3903073620</v>
      </c>
      <c r="M50" s="120">
        <f t="shared" si="7"/>
        <v>0</v>
      </c>
      <c r="N50" s="120">
        <f t="shared" si="7"/>
        <v>0</v>
      </c>
      <c r="O50" s="47">
        <f t="shared" si="5"/>
        <v>6212611620</v>
      </c>
    </row>
    <row r="51" spans="1:15" s="4" customFormat="1" ht="18.75" customHeight="1" x14ac:dyDescent="0.2">
      <c r="A51" s="214"/>
      <c r="B51" s="211"/>
      <c r="C51" s="219" t="s">
        <v>58</v>
      </c>
      <c r="D51" s="216">
        <f>+F52</f>
        <v>2750000000</v>
      </c>
      <c r="E51" s="32" t="s">
        <v>59</v>
      </c>
      <c r="F51" s="125">
        <f>'2. forrásösszesítő-FVS'!H7</f>
        <v>2750000000</v>
      </c>
      <c r="G51" s="119">
        <f>+F51</f>
        <v>2750000000</v>
      </c>
      <c r="H51" s="118"/>
      <c r="I51" s="118"/>
      <c r="J51" s="118"/>
      <c r="K51" s="118"/>
      <c r="L51" s="118"/>
      <c r="M51" s="118"/>
      <c r="N51" s="117"/>
      <c r="O51" s="47">
        <f t="shared" si="5"/>
        <v>2750000000</v>
      </c>
    </row>
    <row r="52" spans="1:15" ht="18.75" customHeight="1" thickBot="1" x14ac:dyDescent="0.25">
      <c r="A52" s="214"/>
      <c r="B52" s="211"/>
      <c r="C52" s="226"/>
      <c r="D52" s="217"/>
      <c r="E52" s="52" t="s">
        <v>60</v>
      </c>
      <c r="F52" s="116">
        <f>+F51</f>
        <v>2750000000</v>
      </c>
      <c r="G52" s="115">
        <f>+G51</f>
        <v>2750000000</v>
      </c>
      <c r="H52" s="114"/>
      <c r="I52" s="114"/>
      <c r="J52" s="114"/>
      <c r="K52" s="114"/>
      <c r="L52" s="114"/>
      <c r="M52" s="114"/>
      <c r="N52" s="113"/>
      <c r="O52" s="53">
        <f t="shared" si="5"/>
        <v>2750000000</v>
      </c>
    </row>
    <row r="53" spans="1:15" ht="18.75" customHeight="1" thickBot="1" x14ac:dyDescent="0.3">
      <c r="A53" s="233" t="s">
        <v>63</v>
      </c>
      <c r="B53" s="234"/>
      <c r="C53" s="234"/>
      <c r="D53" s="234"/>
      <c r="E53" s="235"/>
      <c r="F53" s="258">
        <f>+F11+F19+F22+F29+F33+F35+F43+F45+F50+F52</f>
        <v>70271000000</v>
      </c>
      <c r="G53" s="259">
        <f>+G22+G29+G35+G45+G52</f>
        <v>27400516371</v>
      </c>
      <c r="H53" s="260">
        <f t="shared" ref="H53:N53" si="8">+H11+H19+H29+H33+H43+H50</f>
        <v>6002115323</v>
      </c>
      <c r="I53" s="260">
        <f t="shared" si="8"/>
        <v>6628543378</v>
      </c>
      <c r="J53" s="260">
        <f t="shared" si="8"/>
        <v>9158456853</v>
      </c>
      <c r="K53" s="260">
        <f t="shared" si="8"/>
        <v>9495869853</v>
      </c>
      <c r="L53" s="260">
        <f t="shared" si="8"/>
        <v>11585498222</v>
      </c>
      <c r="M53" s="260">
        <f t="shared" si="8"/>
        <v>0</v>
      </c>
      <c r="N53" s="260">
        <f t="shared" si="8"/>
        <v>0</v>
      </c>
      <c r="O53" s="261">
        <f>SUM(G53:N53)</f>
        <v>70271000000</v>
      </c>
    </row>
    <row r="54" spans="1:15" ht="18.75" customHeight="1" x14ac:dyDescent="0.2">
      <c r="A54" s="236" t="s">
        <v>237</v>
      </c>
      <c r="B54" s="236"/>
      <c r="C54" s="236"/>
      <c r="D54" s="236"/>
      <c r="E54" s="236"/>
    </row>
    <row r="55" spans="1:15" ht="12" x14ac:dyDescent="0.2"/>
    <row r="56" spans="1:15" ht="15" x14ac:dyDescent="0.25">
      <c r="A56" s="228" t="s">
        <v>313</v>
      </c>
      <c r="B56" s="228"/>
      <c r="C56" s="228"/>
      <c r="L56" s="157"/>
    </row>
    <row r="57" spans="1:15" ht="18" customHeight="1" x14ac:dyDescent="0.2">
      <c r="A57" s="229" t="s">
        <v>10</v>
      </c>
      <c r="B57" s="230" t="s">
        <v>312</v>
      </c>
      <c r="C57" s="231" t="s">
        <v>311</v>
      </c>
      <c r="D57" s="232"/>
    </row>
    <row r="58" spans="1:15" ht="83.25" customHeight="1" x14ac:dyDescent="0.2">
      <c r="A58" s="229"/>
      <c r="B58" s="230"/>
      <c r="C58" s="112" t="s">
        <v>318</v>
      </c>
      <c r="D58" s="112" t="s">
        <v>319</v>
      </c>
    </row>
    <row r="59" spans="1:15" ht="45.75" customHeight="1" x14ac:dyDescent="0.2">
      <c r="A59" s="111" t="s">
        <v>19</v>
      </c>
      <c r="B59" s="183">
        <v>790361682</v>
      </c>
      <c r="C59" s="183">
        <f>B59</f>
        <v>790361682</v>
      </c>
      <c r="D59" s="152"/>
    </row>
    <row r="60" spans="1:15" ht="58.5" customHeight="1" x14ac:dyDescent="0.2">
      <c r="A60" s="110" t="s">
        <v>310</v>
      </c>
      <c r="B60" s="150">
        <v>440000000</v>
      </c>
      <c r="C60" s="151"/>
      <c r="D60" s="156">
        <v>440000000</v>
      </c>
    </row>
    <row r="61" spans="1:15" ht="30.75" customHeight="1" x14ac:dyDescent="0.2">
      <c r="A61" s="109" t="s">
        <v>63</v>
      </c>
      <c r="B61" s="183">
        <f>SUM(B59:B60)</f>
        <v>1230361682</v>
      </c>
      <c r="C61" s="183">
        <f>SUM(C59:C60)</f>
        <v>790361682</v>
      </c>
      <c r="D61" s="156">
        <f>SUM(D59:D60)</f>
        <v>440000000</v>
      </c>
    </row>
    <row r="62" spans="1:15" ht="18.75" customHeight="1" x14ac:dyDescent="0.2">
      <c r="A62" s="227" t="s">
        <v>309</v>
      </c>
      <c r="B62" s="227"/>
      <c r="C62" s="227"/>
    </row>
  </sheetData>
  <sheetProtection formatCells="0" formatColumns="0" formatRows="0" insertColumns="0" insertRows="0"/>
  <mergeCells count="37">
    <mergeCell ref="C51:C52"/>
    <mergeCell ref="D51:D52"/>
    <mergeCell ref="A62:C62"/>
    <mergeCell ref="A56:C56"/>
    <mergeCell ref="A57:A58"/>
    <mergeCell ref="B57:B58"/>
    <mergeCell ref="C57:D57"/>
    <mergeCell ref="A53:E53"/>
    <mergeCell ref="A46:A52"/>
    <mergeCell ref="B46:B52"/>
    <mergeCell ref="C46:C50"/>
    <mergeCell ref="D46:D50"/>
    <mergeCell ref="A54:E54"/>
    <mergeCell ref="A4:B4"/>
    <mergeCell ref="A8:B8"/>
    <mergeCell ref="C10:C11"/>
    <mergeCell ref="D10:D11"/>
    <mergeCell ref="C12:C19"/>
    <mergeCell ref="D12:D19"/>
    <mergeCell ref="A10:A22"/>
    <mergeCell ref="B10:B22"/>
    <mergeCell ref="C20:C22"/>
    <mergeCell ref="D20:D22"/>
    <mergeCell ref="B30:B45"/>
    <mergeCell ref="A30:A45"/>
    <mergeCell ref="D23:D29"/>
    <mergeCell ref="C23:C29"/>
    <mergeCell ref="B23:B29"/>
    <mergeCell ref="A23:A29"/>
    <mergeCell ref="C44:C45"/>
    <mergeCell ref="D44:D45"/>
    <mergeCell ref="C30:C33"/>
    <mergeCell ref="C34:C35"/>
    <mergeCell ref="C36:C43"/>
    <mergeCell ref="D36:D43"/>
    <mergeCell ref="D30:D33"/>
    <mergeCell ref="D34:D35"/>
  </mergeCells>
  <conditionalFormatting sqref="F53">
    <cfRule type="cellIs" dxfId="4" priority="4" operator="equal">
      <formula>$J$6</formula>
    </cfRule>
  </conditionalFormatting>
  <conditionalFormatting sqref="O10:O11">
    <cfRule type="cellIs" dxfId="3" priority="2" operator="equal">
      <formula>$F$10</formula>
    </cfRule>
  </conditionalFormatting>
  <conditionalFormatting sqref="O10:O12 O16:O36 O39 O42:O52">
    <cfRule type="cellIs" dxfId="2" priority="3" operator="equal">
      <formula>F10</formula>
    </cfRule>
  </conditionalFormatting>
  <conditionalFormatting sqref="O53">
    <cfRule type="cellIs" dxfId="1" priority="1" operator="equal">
      <formula>$F$53</formula>
    </cfRule>
  </conditionalFormatting>
  <pageMargins left="0.70866141732283472" right="0.70866141732283472" top="0.74803149606299213" bottom="0.74803149606299213" header="0.31496062992125984" footer="0.31496062992125984"/>
  <pageSetup paperSize="8" scale="46" orientation="landscape" r:id="rId1"/>
  <headerFooter>
    <oddHeader>&amp;F</oddHeader>
    <oddFooter>&amp;P. oldal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WZ50"/>
  <sheetViews>
    <sheetView showGridLines="0" topLeftCell="A5" zoomScale="70" zoomScaleNormal="70" zoomScaleSheetLayoutView="40" workbookViewId="0">
      <selection activeCell="I26" sqref="I26"/>
    </sheetView>
  </sheetViews>
  <sheetFormatPr defaultColWidth="0" defaultRowHeight="0" customHeight="1" zeroHeight="1" x14ac:dyDescent="0.25"/>
  <cols>
    <col min="1" max="1" width="19.42578125" style="70" customWidth="1"/>
    <col min="2" max="2" width="40.42578125" style="70" customWidth="1"/>
    <col min="3" max="3" width="26" style="70" customWidth="1"/>
    <col min="4" max="4" width="10.7109375" style="70" customWidth="1"/>
    <col min="5" max="5" width="12.42578125" style="70" customWidth="1"/>
    <col min="6" max="7" width="12" style="70" customWidth="1"/>
    <col min="8" max="9" width="10.7109375" style="70" customWidth="1"/>
    <col min="10" max="10" width="11" style="70" customWidth="1"/>
    <col min="11" max="15" width="10.7109375" style="70" customWidth="1"/>
    <col min="16" max="16" width="13.140625" style="70" customWidth="1"/>
    <col min="17" max="19" width="10.7109375" style="70" customWidth="1"/>
    <col min="20" max="20" width="13.140625" style="70" customWidth="1"/>
    <col min="21" max="31" width="9.140625" style="70" customWidth="1"/>
    <col min="32" max="32" width="11.28515625" style="70" customWidth="1"/>
    <col min="33" max="34" width="9.140625" style="70" customWidth="1"/>
    <col min="35" max="252" width="9.140625" style="70" hidden="1"/>
    <col min="253" max="253" width="26.42578125" style="70" hidden="1"/>
    <col min="254" max="254" width="15.7109375" style="70" hidden="1"/>
    <col min="255" max="255" width="33.7109375" style="70" hidden="1"/>
    <col min="256" max="256" width="26" style="70" hidden="1"/>
    <col min="257" max="257" width="10.7109375" style="70" hidden="1"/>
    <col min="258" max="258" width="12.42578125" style="70" hidden="1"/>
    <col min="259" max="260" width="12" style="70" hidden="1"/>
    <col min="261" max="262" width="10.7109375" style="70" hidden="1"/>
    <col min="263" max="263" width="11" style="70" hidden="1"/>
    <col min="264" max="272" width="10.7109375" style="70" hidden="1"/>
    <col min="273" max="273" width="13.140625" style="70" hidden="1"/>
    <col min="274" max="276" width="9.140625" style="70" hidden="1"/>
    <col min="277" max="286" width="0" style="70" hidden="1"/>
    <col min="287" max="287" width="11.28515625" style="70" hidden="1"/>
    <col min="288" max="288" width="12" style="70" hidden="1"/>
    <col min="289" max="508" width="9.140625" style="70" hidden="1"/>
    <col min="509" max="509" width="26.42578125" style="70" hidden="1"/>
    <col min="510" max="510" width="15.7109375" style="70" hidden="1"/>
    <col min="511" max="511" width="33.7109375" style="70" hidden="1"/>
    <col min="512" max="512" width="26" style="70" hidden="1"/>
    <col min="513" max="513" width="10.7109375" style="70" hidden="1"/>
    <col min="514" max="514" width="12.42578125" style="70" hidden="1"/>
    <col min="515" max="516" width="12" style="70" hidden="1"/>
    <col min="517" max="518" width="10.7109375" style="70" hidden="1"/>
    <col min="519" max="519" width="11" style="70" hidden="1"/>
    <col min="520" max="528" width="10.7109375" style="70" hidden="1"/>
    <col min="529" max="529" width="13.140625" style="70" hidden="1"/>
    <col min="530" max="532" width="9.140625" style="70" hidden="1"/>
    <col min="533" max="542" width="0" style="70" hidden="1"/>
    <col min="543" max="543" width="11.28515625" style="70" hidden="1"/>
    <col min="544" max="544" width="12" style="70" hidden="1"/>
    <col min="545" max="764" width="9.140625" style="70" hidden="1"/>
    <col min="765" max="765" width="26.42578125" style="70" hidden="1"/>
    <col min="766" max="766" width="15.7109375" style="70" hidden="1"/>
    <col min="767" max="767" width="33.7109375" style="70" hidden="1"/>
    <col min="768" max="768" width="26" style="70" hidden="1"/>
    <col min="769" max="769" width="10.7109375" style="70" hidden="1"/>
    <col min="770" max="770" width="12.42578125" style="70" hidden="1"/>
    <col min="771" max="772" width="12" style="70" hidden="1"/>
    <col min="773" max="774" width="10.7109375" style="70" hidden="1"/>
    <col min="775" max="775" width="11" style="70" hidden="1"/>
    <col min="776" max="784" width="10.7109375" style="70" hidden="1"/>
    <col min="785" max="785" width="13.140625" style="70" hidden="1"/>
    <col min="786" max="788" width="9.140625" style="70" hidden="1"/>
    <col min="789" max="798" width="0" style="70" hidden="1"/>
    <col min="799" max="799" width="11.28515625" style="70" hidden="1"/>
    <col min="800" max="800" width="12" style="70" hidden="1"/>
    <col min="801" max="1020" width="9.140625" style="70" hidden="1"/>
    <col min="1021" max="1021" width="26.42578125" style="70" hidden="1"/>
    <col min="1022" max="1022" width="15.7109375" style="70" hidden="1"/>
    <col min="1023" max="1023" width="33.7109375" style="70" hidden="1"/>
    <col min="1024" max="1024" width="26" style="70" hidden="1"/>
    <col min="1025" max="1025" width="10.7109375" style="70" hidden="1"/>
    <col min="1026" max="1026" width="12.42578125" style="70" hidden="1"/>
    <col min="1027" max="1028" width="12" style="70" hidden="1"/>
    <col min="1029" max="1030" width="10.7109375" style="70" hidden="1"/>
    <col min="1031" max="1031" width="11" style="70" hidden="1"/>
    <col min="1032" max="1040" width="10.7109375" style="70" hidden="1"/>
    <col min="1041" max="1041" width="13.140625" style="70" hidden="1"/>
    <col min="1042" max="1044" width="9.140625" style="70" hidden="1"/>
    <col min="1045" max="1054" width="0" style="70" hidden="1"/>
    <col min="1055" max="1055" width="11.28515625" style="70" hidden="1"/>
    <col min="1056" max="1056" width="12" style="70" hidden="1"/>
    <col min="1057" max="1276" width="9.140625" style="70" hidden="1"/>
    <col min="1277" max="1277" width="26.42578125" style="70" hidden="1"/>
    <col min="1278" max="1278" width="15.7109375" style="70" hidden="1"/>
    <col min="1279" max="1279" width="33.7109375" style="70" hidden="1"/>
    <col min="1280" max="1280" width="26" style="70" hidden="1"/>
    <col min="1281" max="1281" width="10.7109375" style="70" hidden="1"/>
    <col min="1282" max="1282" width="12.42578125" style="70" hidden="1"/>
    <col min="1283" max="1284" width="12" style="70" hidden="1"/>
    <col min="1285" max="1286" width="10.7109375" style="70" hidden="1"/>
    <col min="1287" max="1287" width="11" style="70" hidden="1"/>
    <col min="1288" max="1296" width="10.7109375" style="70" hidden="1"/>
    <col min="1297" max="1297" width="13.140625" style="70" hidden="1"/>
    <col min="1298" max="1300" width="9.140625" style="70" hidden="1"/>
    <col min="1301" max="1310" width="0" style="70" hidden="1"/>
    <col min="1311" max="1311" width="11.28515625" style="70" hidden="1"/>
    <col min="1312" max="1312" width="12" style="70" hidden="1"/>
    <col min="1313" max="1532" width="9.140625" style="70" hidden="1"/>
    <col min="1533" max="1533" width="26.42578125" style="70" hidden="1"/>
    <col min="1534" max="1534" width="15.7109375" style="70" hidden="1"/>
    <col min="1535" max="1535" width="33.7109375" style="70" hidden="1"/>
    <col min="1536" max="1536" width="26" style="70" hidden="1"/>
    <col min="1537" max="1537" width="10.7109375" style="70" hidden="1"/>
    <col min="1538" max="1538" width="12.42578125" style="70" hidden="1"/>
    <col min="1539" max="1540" width="12" style="70" hidden="1"/>
    <col min="1541" max="1542" width="10.7109375" style="70" hidden="1"/>
    <col min="1543" max="1543" width="11" style="70" hidden="1"/>
    <col min="1544" max="1552" width="10.7109375" style="70" hidden="1"/>
    <col min="1553" max="1553" width="13.140625" style="70" hidden="1"/>
    <col min="1554" max="1556" width="9.140625" style="70" hidden="1"/>
    <col min="1557" max="1566" width="0" style="70" hidden="1"/>
    <col min="1567" max="1567" width="11.28515625" style="70" hidden="1"/>
    <col min="1568" max="1568" width="12" style="70" hidden="1"/>
    <col min="1569" max="1788" width="9.140625" style="70" hidden="1"/>
    <col min="1789" max="1789" width="26.42578125" style="70" hidden="1"/>
    <col min="1790" max="1790" width="15.7109375" style="70" hidden="1"/>
    <col min="1791" max="1791" width="33.7109375" style="70" hidden="1"/>
    <col min="1792" max="1792" width="26" style="70" hidden="1"/>
    <col min="1793" max="1793" width="10.7109375" style="70" hidden="1"/>
    <col min="1794" max="1794" width="12.42578125" style="70" hidden="1"/>
    <col min="1795" max="1796" width="12" style="70" hidden="1"/>
    <col min="1797" max="1798" width="10.7109375" style="70" hidden="1"/>
    <col min="1799" max="1799" width="11" style="70" hidden="1"/>
    <col min="1800" max="1808" width="10.7109375" style="70" hidden="1"/>
    <col min="1809" max="1809" width="13.140625" style="70" hidden="1"/>
    <col min="1810" max="1812" width="9.140625" style="70" hidden="1"/>
    <col min="1813" max="1822" width="0" style="70" hidden="1"/>
    <col min="1823" max="1823" width="11.28515625" style="70" hidden="1"/>
    <col min="1824" max="1824" width="12" style="70" hidden="1"/>
    <col min="1825" max="2044" width="9.140625" style="70" hidden="1"/>
    <col min="2045" max="2045" width="26.42578125" style="70" hidden="1"/>
    <col min="2046" max="2046" width="15.7109375" style="70" hidden="1"/>
    <col min="2047" max="2047" width="33.7109375" style="70" hidden="1"/>
    <col min="2048" max="2048" width="26" style="70" hidden="1"/>
    <col min="2049" max="2049" width="10.7109375" style="70" hidden="1"/>
    <col min="2050" max="2050" width="12.42578125" style="70" hidden="1"/>
    <col min="2051" max="2052" width="12" style="70" hidden="1"/>
    <col min="2053" max="2054" width="10.7109375" style="70" hidden="1"/>
    <col min="2055" max="2055" width="11" style="70" hidden="1"/>
    <col min="2056" max="2064" width="10.7109375" style="70" hidden="1"/>
    <col min="2065" max="2065" width="13.140625" style="70" hidden="1"/>
    <col min="2066" max="2068" width="9.140625" style="70" hidden="1"/>
    <col min="2069" max="2078" width="0" style="70" hidden="1"/>
    <col min="2079" max="2079" width="11.28515625" style="70" hidden="1"/>
    <col min="2080" max="2080" width="12" style="70" hidden="1"/>
    <col min="2081" max="2300" width="9.140625" style="70" hidden="1"/>
    <col min="2301" max="2301" width="26.42578125" style="70" hidden="1"/>
    <col min="2302" max="2302" width="15.7109375" style="70" hidden="1"/>
    <col min="2303" max="2303" width="33.7109375" style="70" hidden="1"/>
    <col min="2304" max="2304" width="26" style="70" hidden="1"/>
    <col min="2305" max="2305" width="10.7109375" style="70" hidden="1"/>
    <col min="2306" max="2306" width="12.42578125" style="70" hidden="1"/>
    <col min="2307" max="2308" width="12" style="70" hidden="1"/>
    <col min="2309" max="2310" width="10.7109375" style="70" hidden="1"/>
    <col min="2311" max="2311" width="11" style="70" hidden="1"/>
    <col min="2312" max="2320" width="10.7109375" style="70" hidden="1"/>
    <col min="2321" max="2321" width="13.140625" style="70" hidden="1"/>
    <col min="2322" max="2324" width="9.140625" style="70" hidden="1"/>
    <col min="2325" max="2334" width="0" style="70" hidden="1"/>
    <col min="2335" max="2335" width="11.28515625" style="70" hidden="1"/>
    <col min="2336" max="2336" width="12" style="70" hidden="1"/>
    <col min="2337" max="2556" width="9.140625" style="70" hidden="1"/>
    <col min="2557" max="2557" width="26.42578125" style="70" hidden="1"/>
    <col min="2558" max="2558" width="15.7109375" style="70" hidden="1"/>
    <col min="2559" max="2559" width="33.7109375" style="70" hidden="1"/>
    <col min="2560" max="2560" width="26" style="70" hidden="1"/>
    <col min="2561" max="2561" width="10.7109375" style="70" hidden="1"/>
    <col min="2562" max="2562" width="12.42578125" style="70" hidden="1"/>
    <col min="2563" max="2564" width="12" style="70" hidden="1"/>
    <col min="2565" max="2566" width="10.7109375" style="70" hidden="1"/>
    <col min="2567" max="2567" width="11" style="70" hidden="1"/>
    <col min="2568" max="2576" width="10.7109375" style="70" hidden="1"/>
    <col min="2577" max="2577" width="13.140625" style="70" hidden="1"/>
    <col min="2578" max="2580" width="9.140625" style="70" hidden="1"/>
    <col min="2581" max="2590" width="0" style="70" hidden="1"/>
    <col min="2591" max="2591" width="11.28515625" style="70" hidden="1"/>
    <col min="2592" max="2592" width="12" style="70" hidden="1"/>
    <col min="2593" max="2812" width="9.140625" style="70" hidden="1"/>
    <col min="2813" max="2813" width="26.42578125" style="70" hidden="1"/>
    <col min="2814" max="2814" width="15.7109375" style="70" hidden="1"/>
    <col min="2815" max="2815" width="33.7109375" style="70" hidden="1"/>
    <col min="2816" max="2816" width="26" style="70" hidden="1"/>
    <col min="2817" max="2817" width="10.7109375" style="70" hidden="1"/>
    <col min="2818" max="2818" width="12.42578125" style="70" hidden="1"/>
    <col min="2819" max="2820" width="12" style="70" hidden="1"/>
    <col min="2821" max="2822" width="10.7109375" style="70" hidden="1"/>
    <col min="2823" max="2823" width="11" style="70" hidden="1"/>
    <col min="2824" max="2832" width="10.7109375" style="70" hidden="1"/>
    <col min="2833" max="2833" width="13.140625" style="70" hidden="1"/>
    <col min="2834" max="2836" width="9.140625" style="70" hidden="1"/>
    <col min="2837" max="2846" width="0" style="70" hidden="1"/>
    <col min="2847" max="2847" width="11.28515625" style="70" hidden="1"/>
    <col min="2848" max="2848" width="12" style="70" hidden="1"/>
    <col min="2849" max="3068" width="9.140625" style="70" hidden="1"/>
    <col min="3069" max="3069" width="26.42578125" style="70" hidden="1"/>
    <col min="3070" max="3070" width="15.7109375" style="70" hidden="1"/>
    <col min="3071" max="3071" width="33.7109375" style="70" hidden="1"/>
    <col min="3072" max="3072" width="26" style="70" hidden="1"/>
    <col min="3073" max="3073" width="10.7109375" style="70" hidden="1"/>
    <col min="3074" max="3074" width="12.42578125" style="70" hidden="1"/>
    <col min="3075" max="3076" width="12" style="70" hidden="1"/>
    <col min="3077" max="3078" width="10.7109375" style="70" hidden="1"/>
    <col min="3079" max="3079" width="11" style="70" hidden="1"/>
    <col min="3080" max="3088" width="10.7109375" style="70" hidden="1"/>
    <col min="3089" max="3089" width="13.140625" style="70" hidden="1"/>
    <col min="3090" max="3092" width="9.140625" style="70" hidden="1"/>
    <col min="3093" max="3102" width="0" style="70" hidden="1"/>
    <col min="3103" max="3103" width="11.28515625" style="70" hidden="1"/>
    <col min="3104" max="3104" width="12" style="70" hidden="1"/>
    <col min="3105" max="3324" width="9.140625" style="70" hidden="1"/>
    <col min="3325" max="3325" width="26.42578125" style="70" hidden="1"/>
    <col min="3326" max="3326" width="15.7109375" style="70" hidden="1"/>
    <col min="3327" max="3327" width="33.7109375" style="70" hidden="1"/>
    <col min="3328" max="3328" width="26" style="70" hidden="1"/>
    <col min="3329" max="3329" width="10.7109375" style="70" hidden="1"/>
    <col min="3330" max="3330" width="12.42578125" style="70" hidden="1"/>
    <col min="3331" max="3332" width="12" style="70" hidden="1"/>
    <col min="3333" max="3334" width="10.7109375" style="70" hidden="1"/>
    <col min="3335" max="3335" width="11" style="70" hidden="1"/>
    <col min="3336" max="3344" width="10.7109375" style="70" hidden="1"/>
    <col min="3345" max="3345" width="13.140625" style="70" hidden="1"/>
    <col min="3346" max="3348" width="9.140625" style="70" hidden="1"/>
    <col min="3349" max="3358" width="0" style="70" hidden="1"/>
    <col min="3359" max="3359" width="11.28515625" style="70" hidden="1"/>
    <col min="3360" max="3360" width="12" style="70" hidden="1"/>
    <col min="3361" max="3580" width="9.140625" style="70" hidden="1"/>
    <col min="3581" max="3581" width="26.42578125" style="70" hidden="1"/>
    <col min="3582" max="3582" width="15.7109375" style="70" hidden="1"/>
    <col min="3583" max="3583" width="33.7109375" style="70" hidden="1"/>
    <col min="3584" max="3584" width="26" style="70" hidden="1"/>
    <col min="3585" max="3585" width="10.7109375" style="70" hidden="1"/>
    <col min="3586" max="3586" width="12.42578125" style="70" hidden="1"/>
    <col min="3587" max="3588" width="12" style="70" hidden="1"/>
    <col min="3589" max="3590" width="10.7109375" style="70" hidden="1"/>
    <col min="3591" max="3591" width="11" style="70" hidden="1"/>
    <col min="3592" max="3600" width="10.7109375" style="70" hidden="1"/>
    <col min="3601" max="3601" width="13.140625" style="70" hidden="1"/>
    <col min="3602" max="3604" width="9.140625" style="70" hidden="1"/>
    <col min="3605" max="3614" width="0" style="70" hidden="1"/>
    <col min="3615" max="3615" width="11.28515625" style="70" hidden="1"/>
    <col min="3616" max="3616" width="12" style="70" hidden="1"/>
    <col min="3617" max="3836" width="9.140625" style="70" hidden="1"/>
    <col min="3837" max="3837" width="26.42578125" style="70" hidden="1"/>
    <col min="3838" max="3838" width="15.7109375" style="70" hidden="1"/>
    <col min="3839" max="3839" width="33.7109375" style="70" hidden="1"/>
    <col min="3840" max="3840" width="26" style="70" hidden="1"/>
    <col min="3841" max="3841" width="10.7109375" style="70" hidden="1"/>
    <col min="3842" max="3842" width="12.42578125" style="70" hidden="1"/>
    <col min="3843" max="3844" width="12" style="70" hidden="1"/>
    <col min="3845" max="3846" width="10.7109375" style="70" hidden="1"/>
    <col min="3847" max="3847" width="11" style="70" hidden="1"/>
    <col min="3848" max="3856" width="10.7109375" style="70" hidden="1"/>
    <col min="3857" max="3857" width="13.140625" style="70" hidden="1"/>
    <col min="3858" max="3860" width="9.140625" style="70" hidden="1"/>
    <col min="3861" max="3870" width="0" style="70" hidden="1"/>
    <col min="3871" max="3871" width="11.28515625" style="70" hidden="1"/>
    <col min="3872" max="3872" width="12" style="70" hidden="1"/>
    <col min="3873" max="4092" width="9.140625" style="70" hidden="1"/>
    <col min="4093" max="4093" width="26.42578125" style="70" hidden="1"/>
    <col min="4094" max="4094" width="15.7109375" style="70" hidden="1"/>
    <col min="4095" max="4095" width="33.7109375" style="70" hidden="1"/>
    <col min="4096" max="4096" width="26" style="70" hidden="1"/>
    <col min="4097" max="4097" width="10.7109375" style="70" hidden="1"/>
    <col min="4098" max="4098" width="12.42578125" style="70" hidden="1"/>
    <col min="4099" max="4100" width="12" style="70" hidden="1"/>
    <col min="4101" max="4102" width="10.7109375" style="70" hidden="1"/>
    <col min="4103" max="4103" width="11" style="70" hidden="1"/>
    <col min="4104" max="4112" width="10.7109375" style="70" hidden="1"/>
    <col min="4113" max="4113" width="13.140625" style="70" hidden="1"/>
    <col min="4114" max="4116" width="9.140625" style="70" hidden="1"/>
    <col min="4117" max="4126" width="0" style="70" hidden="1"/>
    <col min="4127" max="4127" width="11.28515625" style="70" hidden="1"/>
    <col min="4128" max="4128" width="12" style="70" hidden="1"/>
    <col min="4129" max="4348" width="9.140625" style="70" hidden="1"/>
    <col min="4349" max="4349" width="26.42578125" style="70" hidden="1"/>
    <col min="4350" max="4350" width="15.7109375" style="70" hidden="1"/>
    <col min="4351" max="4351" width="33.7109375" style="70" hidden="1"/>
    <col min="4352" max="4352" width="26" style="70" hidden="1"/>
    <col min="4353" max="4353" width="10.7109375" style="70" hidden="1"/>
    <col min="4354" max="4354" width="12.42578125" style="70" hidden="1"/>
    <col min="4355" max="4356" width="12" style="70" hidden="1"/>
    <col min="4357" max="4358" width="10.7109375" style="70" hidden="1"/>
    <col min="4359" max="4359" width="11" style="70" hidden="1"/>
    <col min="4360" max="4368" width="10.7109375" style="70" hidden="1"/>
    <col min="4369" max="4369" width="13.140625" style="70" hidden="1"/>
    <col min="4370" max="4372" width="9.140625" style="70" hidden="1"/>
    <col min="4373" max="4382" width="0" style="70" hidden="1"/>
    <col min="4383" max="4383" width="11.28515625" style="70" hidden="1"/>
    <col min="4384" max="4384" width="12" style="70" hidden="1"/>
    <col min="4385" max="4604" width="9.140625" style="70" hidden="1"/>
    <col min="4605" max="4605" width="26.42578125" style="70" hidden="1"/>
    <col min="4606" max="4606" width="15.7109375" style="70" hidden="1"/>
    <col min="4607" max="4607" width="33.7109375" style="70" hidden="1"/>
    <col min="4608" max="4608" width="26" style="70" hidden="1"/>
    <col min="4609" max="4609" width="10.7109375" style="70" hidden="1"/>
    <col min="4610" max="4610" width="12.42578125" style="70" hidden="1"/>
    <col min="4611" max="4612" width="12" style="70" hidden="1"/>
    <col min="4613" max="4614" width="10.7109375" style="70" hidden="1"/>
    <col min="4615" max="4615" width="11" style="70" hidden="1"/>
    <col min="4616" max="4624" width="10.7109375" style="70" hidden="1"/>
    <col min="4625" max="4625" width="13.140625" style="70" hidden="1"/>
    <col min="4626" max="4628" width="9.140625" style="70" hidden="1"/>
    <col min="4629" max="4638" width="0" style="70" hidden="1"/>
    <col min="4639" max="4639" width="11.28515625" style="70" hidden="1"/>
    <col min="4640" max="4640" width="12" style="70" hidden="1"/>
    <col min="4641" max="4860" width="9.140625" style="70" hidden="1"/>
    <col min="4861" max="4861" width="26.42578125" style="70" hidden="1"/>
    <col min="4862" max="4862" width="15.7109375" style="70" hidden="1"/>
    <col min="4863" max="4863" width="33.7109375" style="70" hidden="1"/>
    <col min="4864" max="4864" width="26" style="70" hidden="1"/>
    <col min="4865" max="4865" width="10.7109375" style="70" hidden="1"/>
    <col min="4866" max="4866" width="12.42578125" style="70" hidden="1"/>
    <col min="4867" max="4868" width="12" style="70" hidden="1"/>
    <col min="4869" max="4870" width="10.7109375" style="70" hidden="1"/>
    <col min="4871" max="4871" width="11" style="70" hidden="1"/>
    <col min="4872" max="4880" width="10.7109375" style="70" hidden="1"/>
    <col min="4881" max="4881" width="13.140625" style="70" hidden="1"/>
    <col min="4882" max="4884" width="9.140625" style="70" hidden="1"/>
    <col min="4885" max="4894" width="0" style="70" hidden="1"/>
    <col min="4895" max="4895" width="11.28515625" style="70" hidden="1"/>
    <col min="4896" max="4896" width="12" style="70" hidden="1"/>
    <col min="4897" max="5116" width="9.140625" style="70" hidden="1"/>
    <col min="5117" max="5117" width="26.42578125" style="70" hidden="1"/>
    <col min="5118" max="5118" width="15.7109375" style="70" hidden="1"/>
    <col min="5119" max="5119" width="33.7109375" style="70" hidden="1"/>
    <col min="5120" max="5120" width="26" style="70" hidden="1"/>
    <col min="5121" max="5121" width="10.7109375" style="70" hidden="1"/>
    <col min="5122" max="5122" width="12.42578125" style="70" hidden="1"/>
    <col min="5123" max="5124" width="12" style="70" hidden="1"/>
    <col min="5125" max="5126" width="10.7109375" style="70" hidden="1"/>
    <col min="5127" max="5127" width="11" style="70" hidden="1"/>
    <col min="5128" max="5136" width="10.7109375" style="70" hidden="1"/>
    <col min="5137" max="5137" width="13.140625" style="70" hidden="1"/>
    <col min="5138" max="5140" width="9.140625" style="70" hidden="1"/>
    <col min="5141" max="5150" width="0" style="70" hidden="1"/>
    <col min="5151" max="5151" width="11.28515625" style="70" hidden="1"/>
    <col min="5152" max="5152" width="12" style="70" hidden="1"/>
    <col min="5153" max="5372" width="9.140625" style="70" hidden="1"/>
    <col min="5373" max="5373" width="26.42578125" style="70" hidden="1"/>
    <col min="5374" max="5374" width="15.7109375" style="70" hidden="1"/>
    <col min="5375" max="5375" width="33.7109375" style="70" hidden="1"/>
    <col min="5376" max="5376" width="26" style="70" hidden="1"/>
    <col min="5377" max="5377" width="10.7109375" style="70" hidden="1"/>
    <col min="5378" max="5378" width="12.42578125" style="70" hidden="1"/>
    <col min="5379" max="5380" width="12" style="70" hidden="1"/>
    <col min="5381" max="5382" width="10.7109375" style="70" hidden="1"/>
    <col min="5383" max="5383" width="11" style="70" hidden="1"/>
    <col min="5384" max="5392" width="10.7109375" style="70" hidden="1"/>
    <col min="5393" max="5393" width="13.140625" style="70" hidden="1"/>
    <col min="5394" max="5396" width="9.140625" style="70" hidden="1"/>
    <col min="5397" max="5406" width="0" style="70" hidden="1"/>
    <col min="5407" max="5407" width="11.28515625" style="70" hidden="1"/>
    <col min="5408" max="5408" width="12" style="70" hidden="1"/>
    <col min="5409" max="5628" width="9.140625" style="70" hidden="1"/>
    <col min="5629" max="5629" width="26.42578125" style="70" hidden="1"/>
    <col min="5630" max="5630" width="15.7109375" style="70" hidden="1"/>
    <col min="5631" max="5631" width="33.7109375" style="70" hidden="1"/>
    <col min="5632" max="5632" width="26" style="70" hidden="1"/>
    <col min="5633" max="5633" width="10.7109375" style="70" hidden="1"/>
    <col min="5634" max="5634" width="12.42578125" style="70" hidden="1"/>
    <col min="5635" max="5636" width="12" style="70" hidden="1"/>
    <col min="5637" max="5638" width="10.7109375" style="70" hidden="1"/>
    <col min="5639" max="5639" width="11" style="70" hidden="1"/>
    <col min="5640" max="5648" width="10.7109375" style="70" hidden="1"/>
    <col min="5649" max="5649" width="13.140625" style="70" hidden="1"/>
    <col min="5650" max="5652" width="9.140625" style="70" hidden="1"/>
    <col min="5653" max="5662" width="0" style="70" hidden="1"/>
    <col min="5663" max="5663" width="11.28515625" style="70" hidden="1"/>
    <col min="5664" max="5664" width="12" style="70" hidden="1"/>
    <col min="5665" max="5884" width="9.140625" style="70" hidden="1"/>
    <col min="5885" max="5885" width="26.42578125" style="70" hidden="1"/>
    <col min="5886" max="5886" width="15.7109375" style="70" hidden="1"/>
    <col min="5887" max="5887" width="33.7109375" style="70" hidden="1"/>
    <col min="5888" max="5888" width="26" style="70" hidden="1"/>
    <col min="5889" max="5889" width="10.7109375" style="70" hidden="1"/>
    <col min="5890" max="5890" width="12.42578125" style="70" hidden="1"/>
    <col min="5891" max="5892" width="12" style="70" hidden="1"/>
    <col min="5893" max="5894" width="10.7109375" style="70" hidden="1"/>
    <col min="5895" max="5895" width="11" style="70" hidden="1"/>
    <col min="5896" max="5904" width="10.7109375" style="70" hidden="1"/>
    <col min="5905" max="5905" width="13.140625" style="70" hidden="1"/>
    <col min="5906" max="5908" width="9.140625" style="70" hidden="1"/>
    <col min="5909" max="5918" width="0" style="70" hidden="1"/>
    <col min="5919" max="5919" width="11.28515625" style="70" hidden="1"/>
    <col min="5920" max="5920" width="12" style="70" hidden="1"/>
    <col min="5921" max="6140" width="9.140625" style="70" hidden="1"/>
    <col min="6141" max="6141" width="26.42578125" style="70" hidden="1"/>
    <col min="6142" max="6142" width="15.7109375" style="70" hidden="1"/>
    <col min="6143" max="6143" width="33.7109375" style="70" hidden="1"/>
    <col min="6144" max="6144" width="26" style="70" hidden="1"/>
    <col min="6145" max="6145" width="10.7109375" style="70" hidden="1"/>
    <col min="6146" max="6146" width="12.42578125" style="70" hidden="1"/>
    <col min="6147" max="6148" width="12" style="70" hidden="1"/>
    <col min="6149" max="6150" width="10.7109375" style="70" hidden="1"/>
    <col min="6151" max="6151" width="11" style="70" hidden="1"/>
    <col min="6152" max="6160" width="10.7109375" style="70" hidden="1"/>
    <col min="6161" max="6161" width="13.140625" style="70" hidden="1"/>
    <col min="6162" max="6164" width="9.140625" style="70" hidden="1"/>
    <col min="6165" max="6174" width="0" style="70" hidden="1"/>
    <col min="6175" max="6175" width="11.28515625" style="70" hidden="1"/>
    <col min="6176" max="6176" width="12" style="70" hidden="1"/>
    <col min="6177" max="6396" width="9.140625" style="70" hidden="1"/>
    <col min="6397" max="6397" width="26.42578125" style="70" hidden="1"/>
    <col min="6398" max="6398" width="15.7109375" style="70" hidden="1"/>
    <col min="6399" max="6399" width="33.7109375" style="70" hidden="1"/>
    <col min="6400" max="6400" width="26" style="70" hidden="1"/>
    <col min="6401" max="6401" width="10.7109375" style="70" hidden="1"/>
    <col min="6402" max="6402" width="12.42578125" style="70" hidden="1"/>
    <col min="6403" max="6404" width="12" style="70" hidden="1"/>
    <col min="6405" max="6406" width="10.7109375" style="70" hidden="1"/>
    <col min="6407" max="6407" width="11" style="70" hidden="1"/>
    <col min="6408" max="6416" width="10.7109375" style="70" hidden="1"/>
    <col min="6417" max="6417" width="13.140625" style="70" hidden="1"/>
    <col min="6418" max="6420" width="9.140625" style="70" hidden="1"/>
    <col min="6421" max="6430" width="0" style="70" hidden="1"/>
    <col min="6431" max="6431" width="11.28515625" style="70" hidden="1"/>
    <col min="6432" max="6432" width="12" style="70" hidden="1"/>
    <col min="6433" max="6652" width="9.140625" style="70" hidden="1"/>
    <col min="6653" max="6653" width="26.42578125" style="70" hidden="1"/>
    <col min="6654" max="6654" width="15.7109375" style="70" hidden="1"/>
    <col min="6655" max="6655" width="33.7109375" style="70" hidden="1"/>
    <col min="6656" max="6656" width="26" style="70" hidden="1"/>
    <col min="6657" max="6657" width="10.7109375" style="70" hidden="1"/>
    <col min="6658" max="6658" width="12.42578125" style="70" hidden="1"/>
    <col min="6659" max="6660" width="12" style="70" hidden="1"/>
    <col min="6661" max="6662" width="10.7109375" style="70" hidden="1"/>
    <col min="6663" max="6663" width="11" style="70" hidden="1"/>
    <col min="6664" max="6672" width="10.7109375" style="70" hidden="1"/>
    <col min="6673" max="6673" width="13.140625" style="70" hidden="1"/>
    <col min="6674" max="6676" width="9.140625" style="70" hidden="1"/>
    <col min="6677" max="6686" width="0" style="70" hidden="1"/>
    <col min="6687" max="6687" width="11.28515625" style="70" hidden="1"/>
    <col min="6688" max="6688" width="12" style="70" hidden="1"/>
    <col min="6689" max="6908" width="9.140625" style="70" hidden="1"/>
    <col min="6909" max="6909" width="26.42578125" style="70" hidden="1"/>
    <col min="6910" max="6910" width="15.7109375" style="70" hidden="1"/>
    <col min="6911" max="6911" width="33.7109375" style="70" hidden="1"/>
    <col min="6912" max="6912" width="26" style="70" hidden="1"/>
    <col min="6913" max="6913" width="10.7109375" style="70" hidden="1"/>
    <col min="6914" max="6914" width="12.42578125" style="70" hidden="1"/>
    <col min="6915" max="6916" width="12" style="70" hidden="1"/>
    <col min="6917" max="6918" width="10.7109375" style="70" hidden="1"/>
    <col min="6919" max="6919" width="11" style="70" hidden="1"/>
    <col min="6920" max="6928" width="10.7109375" style="70" hidden="1"/>
    <col min="6929" max="6929" width="13.140625" style="70" hidden="1"/>
    <col min="6930" max="6932" width="9.140625" style="70" hidden="1"/>
    <col min="6933" max="6942" width="0" style="70" hidden="1"/>
    <col min="6943" max="6943" width="11.28515625" style="70" hidden="1"/>
    <col min="6944" max="6944" width="12" style="70" hidden="1"/>
    <col min="6945" max="7164" width="9.140625" style="70" hidden="1"/>
    <col min="7165" max="7165" width="26.42578125" style="70" hidden="1"/>
    <col min="7166" max="7166" width="15.7109375" style="70" hidden="1"/>
    <col min="7167" max="7167" width="33.7109375" style="70" hidden="1"/>
    <col min="7168" max="7168" width="26" style="70" hidden="1"/>
    <col min="7169" max="7169" width="10.7109375" style="70" hidden="1"/>
    <col min="7170" max="7170" width="12.42578125" style="70" hidden="1"/>
    <col min="7171" max="7172" width="12" style="70" hidden="1"/>
    <col min="7173" max="7174" width="10.7109375" style="70" hidden="1"/>
    <col min="7175" max="7175" width="11" style="70" hidden="1"/>
    <col min="7176" max="7184" width="10.7109375" style="70" hidden="1"/>
    <col min="7185" max="7185" width="13.140625" style="70" hidden="1"/>
    <col min="7186" max="7188" width="9.140625" style="70" hidden="1"/>
    <col min="7189" max="7198" width="0" style="70" hidden="1"/>
    <col min="7199" max="7199" width="11.28515625" style="70" hidden="1"/>
    <col min="7200" max="7200" width="12" style="70" hidden="1"/>
    <col min="7201" max="7420" width="9.140625" style="70" hidden="1"/>
    <col min="7421" max="7421" width="26.42578125" style="70" hidden="1"/>
    <col min="7422" max="7422" width="15.7109375" style="70" hidden="1"/>
    <col min="7423" max="7423" width="33.7109375" style="70" hidden="1"/>
    <col min="7424" max="7424" width="26" style="70" hidden="1"/>
    <col min="7425" max="7425" width="10.7109375" style="70" hidden="1"/>
    <col min="7426" max="7426" width="12.42578125" style="70" hidden="1"/>
    <col min="7427" max="7428" width="12" style="70" hidden="1"/>
    <col min="7429" max="7430" width="10.7109375" style="70" hidden="1"/>
    <col min="7431" max="7431" width="11" style="70" hidden="1"/>
    <col min="7432" max="7440" width="10.7109375" style="70" hidden="1"/>
    <col min="7441" max="7441" width="13.140625" style="70" hidden="1"/>
    <col min="7442" max="7444" width="9.140625" style="70" hidden="1"/>
    <col min="7445" max="7454" width="0" style="70" hidden="1"/>
    <col min="7455" max="7455" width="11.28515625" style="70" hidden="1"/>
    <col min="7456" max="7456" width="12" style="70" hidden="1"/>
    <col min="7457" max="7676" width="9.140625" style="70" hidden="1"/>
    <col min="7677" max="7677" width="26.42578125" style="70" hidden="1"/>
    <col min="7678" max="7678" width="15.7109375" style="70" hidden="1"/>
    <col min="7679" max="7679" width="33.7109375" style="70" hidden="1"/>
    <col min="7680" max="7680" width="26" style="70" hidden="1"/>
    <col min="7681" max="7681" width="10.7109375" style="70" hidden="1"/>
    <col min="7682" max="7682" width="12.42578125" style="70" hidden="1"/>
    <col min="7683" max="7684" width="12" style="70" hidden="1"/>
    <col min="7685" max="7686" width="10.7109375" style="70" hidden="1"/>
    <col min="7687" max="7687" width="11" style="70" hidden="1"/>
    <col min="7688" max="7696" width="10.7109375" style="70" hidden="1"/>
    <col min="7697" max="7697" width="13.140625" style="70" hidden="1"/>
    <col min="7698" max="7700" width="9.140625" style="70" hidden="1"/>
    <col min="7701" max="7710" width="0" style="70" hidden="1"/>
    <col min="7711" max="7711" width="11.28515625" style="70" hidden="1"/>
    <col min="7712" max="7712" width="12" style="70" hidden="1"/>
    <col min="7713" max="7932" width="9.140625" style="70" hidden="1"/>
    <col min="7933" max="7933" width="26.42578125" style="70" hidden="1"/>
    <col min="7934" max="7934" width="15.7109375" style="70" hidden="1"/>
    <col min="7935" max="7935" width="33.7109375" style="70" hidden="1"/>
    <col min="7936" max="7936" width="26" style="70" hidden="1"/>
    <col min="7937" max="7937" width="10.7109375" style="70" hidden="1"/>
    <col min="7938" max="7938" width="12.42578125" style="70" hidden="1"/>
    <col min="7939" max="7940" width="12" style="70" hidden="1"/>
    <col min="7941" max="7942" width="10.7109375" style="70" hidden="1"/>
    <col min="7943" max="7943" width="11" style="70" hidden="1"/>
    <col min="7944" max="7952" width="10.7109375" style="70" hidden="1"/>
    <col min="7953" max="7953" width="13.140625" style="70" hidden="1"/>
    <col min="7954" max="7956" width="9.140625" style="70" hidden="1"/>
    <col min="7957" max="7966" width="0" style="70" hidden="1"/>
    <col min="7967" max="7967" width="11.28515625" style="70" hidden="1"/>
    <col min="7968" max="7968" width="12" style="70" hidden="1"/>
    <col min="7969" max="8188" width="9.140625" style="70" hidden="1"/>
    <col min="8189" max="8189" width="26.42578125" style="70" hidden="1"/>
    <col min="8190" max="8190" width="15.7109375" style="70" hidden="1"/>
    <col min="8191" max="8191" width="33.7109375" style="70" hidden="1"/>
    <col min="8192" max="8192" width="26" style="70" hidden="1"/>
    <col min="8193" max="8193" width="10.7109375" style="70" hidden="1"/>
    <col min="8194" max="8194" width="12.42578125" style="70" hidden="1"/>
    <col min="8195" max="8196" width="12" style="70" hidden="1"/>
    <col min="8197" max="8198" width="10.7109375" style="70" hidden="1"/>
    <col min="8199" max="8199" width="11" style="70" hidden="1"/>
    <col min="8200" max="8208" width="10.7109375" style="70" hidden="1"/>
    <col min="8209" max="8209" width="13.140625" style="70" hidden="1"/>
    <col min="8210" max="8212" width="9.140625" style="70" hidden="1"/>
    <col min="8213" max="8222" width="0" style="70" hidden="1"/>
    <col min="8223" max="8223" width="11.28515625" style="70" hidden="1"/>
    <col min="8224" max="8224" width="12" style="70" hidden="1"/>
    <col min="8225" max="8444" width="9.140625" style="70" hidden="1"/>
    <col min="8445" max="8445" width="26.42578125" style="70" hidden="1"/>
    <col min="8446" max="8446" width="15.7109375" style="70" hidden="1"/>
    <col min="8447" max="8447" width="33.7109375" style="70" hidden="1"/>
    <col min="8448" max="8448" width="26" style="70" hidden="1"/>
    <col min="8449" max="8449" width="10.7109375" style="70" hidden="1"/>
    <col min="8450" max="8450" width="12.42578125" style="70" hidden="1"/>
    <col min="8451" max="8452" width="12" style="70" hidden="1"/>
    <col min="8453" max="8454" width="10.7109375" style="70" hidden="1"/>
    <col min="8455" max="8455" width="11" style="70" hidden="1"/>
    <col min="8456" max="8464" width="10.7109375" style="70" hidden="1"/>
    <col min="8465" max="8465" width="13.140625" style="70" hidden="1"/>
    <col min="8466" max="8468" width="9.140625" style="70" hidden="1"/>
    <col min="8469" max="8478" width="0" style="70" hidden="1"/>
    <col min="8479" max="8479" width="11.28515625" style="70" hidden="1"/>
    <col min="8480" max="8480" width="12" style="70" hidden="1"/>
    <col min="8481" max="8700" width="9.140625" style="70" hidden="1"/>
    <col min="8701" max="8701" width="26.42578125" style="70" hidden="1"/>
    <col min="8702" max="8702" width="15.7109375" style="70" hidden="1"/>
    <col min="8703" max="8703" width="33.7109375" style="70" hidden="1"/>
    <col min="8704" max="8704" width="26" style="70" hidden="1"/>
    <col min="8705" max="8705" width="10.7109375" style="70" hidden="1"/>
    <col min="8706" max="8706" width="12.42578125" style="70" hidden="1"/>
    <col min="8707" max="8708" width="12" style="70" hidden="1"/>
    <col min="8709" max="8710" width="10.7109375" style="70" hidden="1"/>
    <col min="8711" max="8711" width="11" style="70" hidden="1"/>
    <col min="8712" max="8720" width="10.7109375" style="70" hidden="1"/>
    <col min="8721" max="8721" width="13.140625" style="70" hidden="1"/>
    <col min="8722" max="8724" width="9.140625" style="70" hidden="1"/>
    <col min="8725" max="8734" width="0" style="70" hidden="1"/>
    <col min="8735" max="8735" width="11.28515625" style="70" hidden="1"/>
    <col min="8736" max="8736" width="12" style="70" hidden="1"/>
    <col min="8737" max="8956" width="9.140625" style="70" hidden="1"/>
    <col min="8957" max="8957" width="26.42578125" style="70" hidden="1"/>
    <col min="8958" max="8958" width="15.7109375" style="70" hidden="1"/>
    <col min="8959" max="8959" width="33.7109375" style="70" hidden="1"/>
    <col min="8960" max="8960" width="26" style="70" hidden="1"/>
    <col min="8961" max="8961" width="10.7109375" style="70" hidden="1"/>
    <col min="8962" max="8962" width="12.42578125" style="70" hidden="1"/>
    <col min="8963" max="8964" width="12" style="70" hidden="1"/>
    <col min="8965" max="8966" width="10.7109375" style="70" hidden="1"/>
    <col min="8967" max="8967" width="11" style="70" hidden="1"/>
    <col min="8968" max="8976" width="10.7109375" style="70" hidden="1"/>
    <col min="8977" max="8977" width="13.140625" style="70" hidden="1"/>
    <col min="8978" max="8980" width="9.140625" style="70" hidden="1"/>
    <col min="8981" max="8990" width="0" style="70" hidden="1"/>
    <col min="8991" max="8991" width="11.28515625" style="70" hidden="1"/>
    <col min="8992" max="8992" width="12" style="70" hidden="1"/>
    <col min="8993" max="9212" width="9.140625" style="70" hidden="1"/>
    <col min="9213" max="9213" width="26.42578125" style="70" hidden="1"/>
    <col min="9214" max="9214" width="15.7109375" style="70" hidden="1"/>
    <col min="9215" max="9215" width="33.7109375" style="70" hidden="1"/>
    <col min="9216" max="9216" width="26" style="70" hidden="1"/>
    <col min="9217" max="9217" width="10.7109375" style="70" hidden="1"/>
    <col min="9218" max="9218" width="12.42578125" style="70" hidden="1"/>
    <col min="9219" max="9220" width="12" style="70" hidden="1"/>
    <col min="9221" max="9222" width="10.7109375" style="70" hidden="1"/>
    <col min="9223" max="9223" width="11" style="70" hidden="1"/>
    <col min="9224" max="9232" width="10.7109375" style="70" hidden="1"/>
    <col min="9233" max="9233" width="13.140625" style="70" hidden="1"/>
    <col min="9234" max="9236" width="9.140625" style="70" hidden="1"/>
    <col min="9237" max="9246" width="0" style="70" hidden="1"/>
    <col min="9247" max="9247" width="11.28515625" style="70" hidden="1"/>
    <col min="9248" max="9248" width="12" style="70" hidden="1"/>
    <col min="9249" max="9468" width="9.140625" style="70" hidden="1"/>
    <col min="9469" max="9469" width="26.42578125" style="70" hidden="1"/>
    <col min="9470" max="9470" width="15.7109375" style="70" hidden="1"/>
    <col min="9471" max="9471" width="33.7109375" style="70" hidden="1"/>
    <col min="9472" max="9472" width="26" style="70" hidden="1"/>
    <col min="9473" max="9473" width="10.7109375" style="70" hidden="1"/>
    <col min="9474" max="9474" width="12.42578125" style="70" hidden="1"/>
    <col min="9475" max="9476" width="12" style="70" hidden="1"/>
    <col min="9477" max="9478" width="10.7109375" style="70" hidden="1"/>
    <col min="9479" max="9479" width="11" style="70" hidden="1"/>
    <col min="9480" max="9488" width="10.7109375" style="70" hidden="1"/>
    <col min="9489" max="9489" width="13.140625" style="70" hidden="1"/>
    <col min="9490" max="9492" width="9.140625" style="70" hidden="1"/>
    <col min="9493" max="9502" width="0" style="70" hidden="1"/>
    <col min="9503" max="9503" width="11.28515625" style="70" hidden="1"/>
    <col min="9504" max="9504" width="12" style="70" hidden="1"/>
    <col min="9505" max="9724" width="9.140625" style="70" hidden="1"/>
    <col min="9725" max="9725" width="26.42578125" style="70" hidden="1"/>
    <col min="9726" max="9726" width="15.7109375" style="70" hidden="1"/>
    <col min="9727" max="9727" width="33.7109375" style="70" hidden="1"/>
    <col min="9728" max="9728" width="26" style="70" hidden="1"/>
    <col min="9729" max="9729" width="10.7109375" style="70" hidden="1"/>
    <col min="9730" max="9730" width="12.42578125" style="70" hidden="1"/>
    <col min="9731" max="9732" width="12" style="70" hidden="1"/>
    <col min="9733" max="9734" width="10.7109375" style="70" hidden="1"/>
    <col min="9735" max="9735" width="11" style="70" hidden="1"/>
    <col min="9736" max="9744" width="10.7109375" style="70" hidden="1"/>
    <col min="9745" max="9745" width="13.140625" style="70" hidden="1"/>
    <col min="9746" max="9748" width="9.140625" style="70" hidden="1"/>
    <col min="9749" max="9758" width="0" style="70" hidden="1"/>
    <col min="9759" max="9759" width="11.28515625" style="70" hidden="1"/>
    <col min="9760" max="9760" width="12" style="70" hidden="1"/>
    <col min="9761" max="9980" width="9.140625" style="70" hidden="1"/>
    <col min="9981" max="9981" width="26.42578125" style="70" hidden="1"/>
    <col min="9982" max="9982" width="15.7109375" style="70" hidden="1"/>
    <col min="9983" max="9983" width="33.7109375" style="70" hidden="1"/>
    <col min="9984" max="9984" width="26" style="70" hidden="1"/>
    <col min="9985" max="9985" width="10.7109375" style="70" hidden="1"/>
    <col min="9986" max="9986" width="12.42578125" style="70" hidden="1"/>
    <col min="9987" max="9988" width="12" style="70" hidden="1"/>
    <col min="9989" max="9990" width="10.7109375" style="70" hidden="1"/>
    <col min="9991" max="9991" width="11" style="70" hidden="1"/>
    <col min="9992" max="10000" width="10.7109375" style="70" hidden="1"/>
    <col min="10001" max="10001" width="13.140625" style="70" hidden="1"/>
    <col min="10002" max="10004" width="9.140625" style="70" hidden="1"/>
    <col min="10005" max="10014" width="0" style="70" hidden="1"/>
    <col min="10015" max="10015" width="11.28515625" style="70" hidden="1"/>
    <col min="10016" max="10016" width="12" style="70" hidden="1"/>
    <col min="10017" max="10236" width="9.140625" style="70" hidden="1"/>
    <col min="10237" max="10237" width="26.42578125" style="70" hidden="1"/>
    <col min="10238" max="10238" width="15.7109375" style="70" hidden="1"/>
    <col min="10239" max="10239" width="33.7109375" style="70" hidden="1"/>
    <col min="10240" max="10240" width="26" style="70" hidden="1"/>
    <col min="10241" max="10241" width="10.7109375" style="70" hidden="1"/>
    <col min="10242" max="10242" width="12.42578125" style="70" hidden="1"/>
    <col min="10243" max="10244" width="12" style="70" hidden="1"/>
    <col min="10245" max="10246" width="10.7109375" style="70" hidden="1"/>
    <col min="10247" max="10247" width="11" style="70" hidden="1"/>
    <col min="10248" max="10256" width="10.7109375" style="70" hidden="1"/>
    <col min="10257" max="10257" width="13.140625" style="70" hidden="1"/>
    <col min="10258" max="10260" width="9.140625" style="70" hidden="1"/>
    <col min="10261" max="10270" width="0" style="70" hidden="1"/>
    <col min="10271" max="10271" width="11.28515625" style="70" hidden="1"/>
    <col min="10272" max="10272" width="12" style="70" hidden="1"/>
    <col min="10273" max="10492" width="9.140625" style="70" hidden="1"/>
    <col min="10493" max="10493" width="26.42578125" style="70" hidden="1"/>
    <col min="10494" max="10494" width="15.7109375" style="70" hidden="1"/>
    <col min="10495" max="10495" width="33.7109375" style="70" hidden="1"/>
    <col min="10496" max="10496" width="26" style="70" hidden="1"/>
    <col min="10497" max="10497" width="10.7109375" style="70" hidden="1"/>
    <col min="10498" max="10498" width="12.42578125" style="70" hidden="1"/>
    <col min="10499" max="10500" width="12" style="70" hidden="1"/>
    <col min="10501" max="10502" width="10.7109375" style="70" hidden="1"/>
    <col min="10503" max="10503" width="11" style="70" hidden="1"/>
    <col min="10504" max="10512" width="10.7109375" style="70" hidden="1"/>
    <col min="10513" max="10513" width="13.140625" style="70" hidden="1"/>
    <col min="10514" max="10516" width="9.140625" style="70" hidden="1"/>
    <col min="10517" max="10526" width="0" style="70" hidden="1"/>
    <col min="10527" max="10527" width="11.28515625" style="70" hidden="1"/>
    <col min="10528" max="10528" width="12" style="70" hidden="1"/>
    <col min="10529" max="10748" width="9.140625" style="70" hidden="1"/>
    <col min="10749" max="10749" width="26.42578125" style="70" hidden="1"/>
    <col min="10750" max="10750" width="15.7109375" style="70" hidden="1"/>
    <col min="10751" max="10751" width="33.7109375" style="70" hidden="1"/>
    <col min="10752" max="10752" width="26" style="70" hidden="1"/>
    <col min="10753" max="10753" width="10.7109375" style="70" hidden="1"/>
    <col min="10754" max="10754" width="12.42578125" style="70" hidden="1"/>
    <col min="10755" max="10756" width="12" style="70" hidden="1"/>
    <col min="10757" max="10758" width="10.7109375" style="70" hidden="1"/>
    <col min="10759" max="10759" width="11" style="70" hidden="1"/>
    <col min="10760" max="10768" width="10.7109375" style="70" hidden="1"/>
    <col min="10769" max="10769" width="13.140625" style="70" hidden="1"/>
    <col min="10770" max="10772" width="9.140625" style="70" hidden="1"/>
    <col min="10773" max="10782" width="0" style="70" hidden="1"/>
    <col min="10783" max="10783" width="11.28515625" style="70" hidden="1"/>
    <col min="10784" max="10784" width="12" style="70" hidden="1"/>
    <col min="10785" max="11004" width="9.140625" style="70" hidden="1"/>
    <col min="11005" max="11005" width="26.42578125" style="70" hidden="1"/>
    <col min="11006" max="11006" width="15.7109375" style="70" hidden="1"/>
    <col min="11007" max="11007" width="33.7109375" style="70" hidden="1"/>
    <col min="11008" max="11008" width="26" style="70" hidden="1"/>
    <col min="11009" max="11009" width="10.7109375" style="70" hidden="1"/>
    <col min="11010" max="11010" width="12.42578125" style="70" hidden="1"/>
    <col min="11011" max="11012" width="12" style="70" hidden="1"/>
    <col min="11013" max="11014" width="10.7109375" style="70" hidden="1"/>
    <col min="11015" max="11015" width="11" style="70" hidden="1"/>
    <col min="11016" max="11024" width="10.7109375" style="70" hidden="1"/>
    <col min="11025" max="11025" width="13.140625" style="70" hidden="1"/>
    <col min="11026" max="11028" width="9.140625" style="70" hidden="1"/>
    <col min="11029" max="11038" width="0" style="70" hidden="1"/>
    <col min="11039" max="11039" width="11.28515625" style="70" hidden="1"/>
    <col min="11040" max="11040" width="12" style="70" hidden="1"/>
    <col min="11041" max="11260" width="9.140625" style="70" hidden="1"/>
    <col min="11261" max="11261" width="26.42578125" style="70" hidden="1"/>
    <col min="11262" max="11262" width="15.7109375" style="70" hidden="1"/>
    <col min="11263" max="11263" width="33.7109375" style="70" hidden="1"/>
    <col min="11264" max="11264" width="26" style="70" hidden="1"/>
    <col min="11265" max="11265" width="10.7109375" style="70" hidden="1"/>
    <col min="11266" max="11266" width="12.42578125" style="70" hidden="1"/>
    <col min="11267" max="11268" width="12" style="70" hidden="1"/>
    <col min="11269" max="11270" width="10.7109375" style="70" hidden="1"/>
    <col min="11271" max="11271" width="11" style="70" hidden="1"/>
    <col min="11272" max="11280" width="10.7109375" style="70" hidden="1"/>
    <col min="11281" max="11281" width="13.140625" style="70" hidden="1"/>
    <col min="11282" max="11284" width="9.140625" style="70" hidden="1"/>
    <col min="11285" max="11294" width="0" style="70" hidden="1"/>
    <col min="11295" max="11295" width="11.28515625" style="70" hidden="1"/>
    <col min="11296" max="11296" width="12" style="70" hidden="1"/>
    <col min="11297" max="11516" width="9.140625" style="70" hidden="1"/>
    <col min="11517" max="11517" width="26.42578125" style="70" hidden="1"/>
    <col min="11518" max="11518" width="15.7109375" style="70" hidden="1"/>
    <col min="11519" max="11519" width="33.7109375" style="70" hidden="1"/>
    <col min="11520" max="11520" width="26" style="70" hidden="1"/>
    <col min="11521" max="11521" width="10.7109375" style="70" hidden="1"/>
    <col min="11522" max="11522" width="12.42578125" style="70" hidden="1"/>
    <col min="11523" max="11524" width="12" style="70" hidden="1"/>
    <col min="11525" max="11526" width="10.7109375" style="70" hidden="1"/>
    <col min="11527" max="11527" width="11" style="70" hidden="1"/>
    <col min="11528" max="11536" width="10.7109375" style="70" hidden="1"/>
    <col min="11537" max="11537" width="13.140625" style="70" hidden="1"/>
    <col min="11538" max="11540" width="9.140625" style="70" hidden="1"/>
    <col min="11541" max="11550" width="0" style="70" hidden="1"/>
    <col min="11551" max="11551" width="11.28515625" style="70" hidden="1"/>
    <col min="11552" max="11552" width="12" style="70" hidden="1"/>
    <col min="11553" max="11772" width="9.140625" style="70" hidden="1"/>
    <col min="11773" max="11773" width="26.42578125" style="70" hidden="1"/>
    <col min="11774" max="11774" width="15.7109375" style="70" hidden="1"/>
    <col min="11775" max="11775" width="33.7109375" style="70" hidden="1"/>
    <col min="11776" max="11776" width="26" style="70" hidden="1"/>
    <col min="11777" max="11777" width="10.7109375" style="70" hidden="1"/>
    <col min="11778" max="11778" width="12.42578125" style="70" hidden="1"/>
    <col min="11779" max="11780" width="12" style="70" hidden="1"/>
    <col min="11781" max="11782" width="10.7109375" style="70" hidden="1"/>
    <col min="11783" max="11783" width="11" style="70" hidden="1"/>
    <col min="11784" max="11792" width="10.7109375" style="70" hidden="1"/>
    <col min="11793" max="11793" width="13.140625" style="70" hidden="1"/>
    <col min="11794" max="11796" width="9.140625" style="70" hidden="1"/>
    <col min="11797" max="11806" width="0" style="70" hidden="1"/>
    <col min="11807" max="11807" width="11.28515625" style="70" hidden="1"/>
    <col min="11808" max="11808" width="12" style="70" hidden="1"/>
    <col min="11809" max="12028" width="9.140625" style="70" hidden="1"/>
    <col min="12029" max="12029" width="26.42578125" style="70" hidden="1"/>
    <col min="12030" max="12030" width="15.7109375" style="70" hidden="1"/>
    <col min="12031" max="12031" width="33.7109375" style="70" hidden="1"/>
    <col min="12032" max="12032" width="26" style="70" hidden="1"/>
    <col min="12033" max="12033" width="10.7109375" style="70" hidden="1"/>
    <col min="12034" max="12034" width="12.42578125" style="70" hidden="1"/>
    <col min="12035" max="12036" width="12" style="70" hidden="1"/>
    <col min="12037" max="12038" width="10.7109375" style="70" hidden="1"/>
    <col min="12039" max="12039" width="11" style="70" hidden="1"/>
    <col min="12040" max="12048" width="10.7109375" style="70" hidden="1"/>
    <col min="12049" max="12049" width="13.140625" style="70" hidden="1"/>
    <col min="12050" max="12052" width="9.140625" style="70" hidden="1"/>
    <col min="12053" max="12062" width="0" style="70" hidden="1"/>
    <col min="12063" max="12063" width="11.28515625" style="70" hidden="1"/>
    <col min="12064" max="12064" width="12" style="70" hidden="1"/>
    <col min="12065" max="12284" width="9.140625" style="70" hidden="1"/>
    <col min="12285" max="12285" width="26.42578125" style="70" hidden="1"/>
    <col min="12286" max="12286" width="15.7109375" style="70" hidden="1"/>
    <col min="12287" max="12287" width="33.7109375" style="70" hidden="1"/>
    <col min="12288" max="12288" width="26" style="70" hidden="1"/>
    <col min="12289" max="12289" width="10.7109375" style="70" hidden="1"/>
    <col min="12290" max="12290" width="12.42578125" style="70" hidden="1"/>
    <col min="12291" max="12292" width="12" style="70" hidden="1"/>
    <col min="12293" max="12294" width="10.7109375" style="70" hidden="1"/>
    <col min="12295" max="12295" width="11" style="70" hidden="1"/>
    <col min="12296" max="12304" width="10.7109375" style="70" hidden="1"/>
    <col min="12305" max="12305" width="13.140625" style="70" hidden="1"/>
    <col min="12306" max="12308" width="9.140625" style="70" hidden="1"/>
    <col min="12309" max="12318" width="0" style="70" hidden="1"/>
    <col min="12319" max="12319" width="11.28515625" style="70" hidden="1"/>
    <col min="12320" max="12320" width="12" style="70" hidden="1"/>
    <col min="12321" max="12540" width="9.140625" style="70" hidden="1"/>
    <col min="12541" max="12541" width="26.42578125" style="70" hidden="1"/>
    <col min="12542" max="12542" width="15.7109375" style="70" hidden="1"/>
    <col min="12543" max="12543" width="33.7109375" style="70" hidden="1"/>
    <col min="12544" max="12544" width="26" style="70" hidden="1"/>
    <col min="12545" max="12545" width="10.7109375" style="70" hidden="1"/>
    <col min="12546" max="12546" width="12.42578125" style="70" hidden="1"/>
    <col min="12547" max="12548" width="12" style="70" hidden="1"/>
    <col min="12549" max="12550" width="10.7109375" style="70" hidden="1"/>
    <col min="12551" max="12551" width="11" style="70" hidden="1"/>
    <col min="12552" max="12560" width="10.7109375" style="70" hidden="1"/>
    <col min="12561" max="12561" width="13.140625" style="70" hidden="1"/>
    <col min="12562" max="12564" width="9.140625" style="70" hidden="1"/>
    <col min="12565" max="12574" width="0" style="70" hidden="1"/>
    <col min="12575" max="12575" width="11.28515625" style="70" hidden="1"/>
    <col min="12576" max="12576" width="12" style="70" hidden="1"/>
    <col min="12577" max="12796" width="9.140625" style="70" hidden="1"/>
    <col min="12797" max="12797" width="26.42578125" style="70" hidden="1"/>
    <col min="12798" max="12798" width="15.7109375" style="70" hidden="1"/>
    <col min="12799" max="12799" width="33.7109375" style="70" hidden="1"/>
    <col min="12800" max="12800" width="26" style="70" hidden="1"/>
    <col min="12801" max="12801" width="10.7109375" style="70" hidden="1"/>
    <col min="12802" max="12802" width="12.42578125" style="70" hidden="1"/>
    <col min="12803" max="12804" width="12" style="70" hidden="1"/>
    <col min="12805" max="12806" width="10.7109375" style="70" hidden="1"/>
    <col min="12807" max="12807" width="11" style="70" hidden="1"/>
    <col min="12808" max="12816" width="10.7109375" style="70" hidden="1"/>
    <col min="12817" max="12817" width="13.140625" style="70" hidden="1"/>
    <col min="12818" max="12820" width="9.140625" style="70" hidden="1"/>
    <col min="12821" max="12830" width="0" style="70" hidden="1"/>
    <col min="12831" max="12831" width="11.28515625" style="70" hidden="1"/>
    <col min="12832" max="12832" width="12" style="70" hidden="1"/>
    <col min="12833" max="13052" width="9.140625" style="70" hidden="1"/>
    <col min="13053" max="13053" width="26.42578125" style="70" hidden="1"/>
    <col min="13054" max="13054" width="15.7109375" style="70" hidden="1"/>
    <col min="13055" max="13055" width="33.7109375" style="70" hidden="1"/>
    <col min="13056" max="13056" width="26" style="70" hidden="1"/>
    <col min="13057" max="13057" width="10.7109375" style="70" hidden="1"/>
    <col min="13058" max="13058" width="12.42578125" style="70" hidden="1"/>
    <col min="13059" max="13060" width="12" style="70" hidden="1"/>
    <col min="13061" max="13062" width="10.7109375" style="70" hidden="1"/>
    <col min="13063" max="13063" width="11" style="70" hidden="1"/>
    <col min="13064" max="13072" width="10.7109375" style="70" hidden="1"/>
    <col min="13073" max="13073" width="13.140625" style="70" hidden="1"/>
    <col min="13074" max="13076" width="9.140625" style="70" hidden="1"/>
    <col min="13077" max="13086" width="0" style="70" hidden="1"/>
    <col min="13087" max="13087" width="11.28515625" style="70" hidden="1"/>
    <col min="13088" max="13088" width="12" style="70" hidden="1"/>
    <col min="13089" max="13308" width="9.140625" style="70" hidden="1"/>
    <col min="13309" max="13309" width="26.42578125" style="70" hidden="1"/>
    <col min="13310" max="13310" width="15.7109375" style="70" hidden="1"/>
    <col min="13311" max="13311" width="33.7109375" style="70" hidden="1"/>
    <col min="13312" max="13312" width="26" style="70" hidden="1"/>
    <col min="13313" max="13313" width="10.7109375" style="70" hidden="1"/>
    <col min="13314" max="13314" width="12.42578125" style="70" hidden="1"/>
    <col min="13315" max="13316" width="12" style="70" hidden="1"/>
    <col min="13317" max="13318" width="10.7109375" style="70" hidden="1"/>
    <col min="13319" max="13319" width="11" style="70" hidden="1"/>
    <col min="13320" max="13328" width="10.7109375" style="70" hidden="1"/>
    <col min="13329" max="13329" width="13.140625" style="70" hidden="1"/>
    <col min="13330" max="13332" width="9.140625" style="70" hidden="1"/>
    <col min="13333" max="13342" width="0" style="70" hidden="1"/>
    <col min="13343" max="13343" width="11.28515625" style="70" hidden="1"/>
    <col min="13344" max="13344" width="12" style="70" hidden="1"/>
    <col min="13345" max="13564" width="9.140625" style="70" hidden="1"/>
    <col min="13565" max="13565" width="26.42578125" style="70" hidden="1"/>
    <col min="13566" max="13566" width="15.7109375" style="70" hidden="1"/>
    <col min="13567" max="13567" width="33.7109375" style="70" hidden="1"/>
    <col min="13568" max="13568" width="26" style="70" hidden="1"/>
    <col min="13569" max="13569" width="10.7109375" style="70" hidden="1"/>
    <col min="13570" max="13570" width="12.42578125" style="70" hidden="1"/>
    <col min="13571" max="13572" width="12" style="70" hidden="1"/>
    <col min="13573" max="13574" width="10.7109375" style="70" hidden="1"/>
    <col min="13575" max="13575" width="11" style="70" hidden="1"/>
    <col min="13576" max="13584" width="10.7109375" style="70" hidden="1"/>
    <col min="13585" max="13585" width="13.140625" style="70" hidden="1"/>
    <col min="13586" max="13588" width="9.140625" style="70" hidden="1"/>
    <col min="13589" max="13598" width="0" style="70" hidden="1"/>
    <col min="13599" max="13599" width="11.28515625" style="70" hidden="1"/>
    <col min="13600" max="13600" width="12" style="70" hidden="1"/>
    <col min="13601" max="13820" width="9.140625" style="70" hidden="1"/>
    <col min="13821" max="13821" width="26.42578125" style="70" hidden="1"/>
    <col min="13822" max="13822" width="15.7109375" style="70" hidden="1"/>
    <col min="13823" max="13823" width="33.7109375" style="70" hidden="1"/>
    <col min="13824" max="13824" width="26" style="70" hidden="1"/>
    <col min="13825" max="13825" width="10.7109375" style="70" hidden="1"/>
    <col min="13826" max="13826" width="12.42578125" style="70" hidden="1"/>
    <col min="13827" max="13828" width="12" style="70" hidden="1"/>
    <col min="13829" max="13830" width="10.7109375" style="70" hidden="1"/>
    <col min="13831" max="13831" width="11" style="70" hidden="1"/>
    <col min="13832" max="13840" width="10.7109375" style="70" hidden="1"/>
    <col min="13841" max="13841" width="13.140625" style="70" hidden="1"/>
    <col min="13842" max="13844" width="9.140625" style="70" hidden="1"/>
    <col min="13845" max="13854" width="0" style="70" hidden="1"/>
    <col min="13855" max="13855" width="11.28515625" style="70" hidden="1"/>
    <col min="13856" max="13856" width="12" style="70" hidden="1"/>
    <col min="13857" max="14076" width="9.140625" style="70" hidden="1"/>
    <col min="14077" max="14077" width="26.42578125" style="70" hidden="1"/>
    <col min="14078" max="14078" width="15.7109375" style="70" hidden="1"/>
    <col min="14079" max="14079" width="33.7109375" style="70" hidden="1"/>
    <col min="14080" max="14080" width="26" style="70" hidden="1"/>
    <col min="14081" max="14081" width="10.7109375" style="70" hidden="1"/>
    <col min="14082" max="14082" width="12.42578125" style="70" hidden="1"/>
    <col min="14083" max="14084" width="12" style="70" hidden="1"/>
    <col min="14085" max="14086" width="10.7109375" style="70" hidden="1"/>
    <col min="14087" max="14087" width="11" style="70" hidden="1"/>
    <col min="14088" max="14096" width="10.7109375" style="70" hidden="1"/>
    <col min="14097" max="14097" width="13.140625" style="70" hidden="1"/>
    <col min="14098" max="14100" width="9.140625" style="70" hidden="1"/>
    <col min="14101" max="14110" width="0" style="70" hidden="1"/>
    <col min="14111" max="14111" width="11.28515625" style="70" hidden="1"/>
    <col min="14112" max="14112" width="12" style="70" hidden="1"/>
    <col min="14113" max="14332" width="9.140625" style="70" hidden="1"/>
    <col min="14333" max="14333" width="26.42578125" style="70" hidden="1"/>
    <col min="14334" max="14334" width="15.7109375" style="70" hidden="1"/>
    <col min="14335" max="14335" width="33.7109375" style="70" hidden="1"/>
    <col min="14336" max="14336" width="26" style="70" hidden="1"/>
    <col min="14337" max="14337" width="10.7109375" style="70" hidden="1"/>
    <col min="14338" max="14338" width="12.42578125" style="70" hidden="1"/>
    <col min="14339" max="14340" width="12" style="70" hidden="1"/>
    <col min="14341" max="14342" width="10.7109375" style="70" hidden="1"/>
    <col min="14343" max="14343" width="11" style="70" hidden="1"/>
    <col min="14344" max="14352" width="10.7109375" style="70" hidden="1"/>
    <col min="14353" max="14353" width="13.140625" style="70" hidden="1"/>
    <col min="14354" max="14356" width="9.140625" style="70" hidden="1"/>
    <col min="14357" max="14366" width="0" style="70" hidden="1"/>
    <col min="14367" max="14367" width="11.28515625" style="70" hidden="1"/>
    <col min="14368" max="14368" width="12" style="70" hidden="1"/>
    <col min="14369" max="14588" width="9.140625" style="70" hidden="1"/>
    <col min="14589" max="14589" width="26.42578125" style="70" hidden="1"/>
    <col min="14590" max="14590" width="15.7109375" style="70" hidden="1"/>
    <col min="14591" max="14591" width="33.7109375" style="70" hidden="1"/>
    <col min="14592" max="14592" width="26" style="70" hidden="1"/>
    <col min="14593" max="14593" width="10.7109375" style="70" hidden="1"/>
    <col min="14594" max="14594" width="12.42578125" style="70" hidden="1"/>
    <col min="14595" max="14596" width="12" style="70" hidden="1"/>
    <col min="14597" max="14598" width="10.7109375" style="70" hidden="1"/>
    <col min="14599" max="14599" width="11" style="70" hidden="1"/>
    <col min="14600" max="14608" width="10.7109375" style="70" hidden="1"/>
    <col min="14609" max="14609" width="13.140625" style="70" hidden="1"/>
    <col min="14610" max="14612" width="9.140625" style="70" hidden="1"/>
    <col min="14613" max="14622" width="0" style="70" hidden="1"/>
    <col min="14623" max="14623" width="11.28515625" style="70" hidden="1"/>
    <col min="14624" max="14624" width="12" style="70" hidden="1"/>
    <col min="14625" max="14844" width="9.140625" style="70" hidden="1"/>
    <col min="14845" max="14845" width="26.42578125" style="70" hidden="1"/>
    <col min="14846" max="14846" width="15.7109375" style="70" hidden="1"/>
    <col min="14847" max="14847" width="33.7109375" style="70" hidden="1"/>
    <col min="14848" max="14848" width="26" style="70" hidden="1"/>
    <col min="14849" max="14849" width="10.7109375" style="70" hidden="1"/>
    <col min="14850" max="14850" width="12.42578125" style="70" hidden="1"/>
    <col min="14851" max="14852" width="12" style="70" hidden="1"/>
    <col min="14853" max="14854" width="10.7109375" style="70" hidden="1"/>
    <col min="14855" max="14855" width="11" style="70" hidden="1"/>
    <col min="14856" max="14864" width="10.7109375" style="70" hidden="1"/>
    <col min="14865" max="14865" width="13.140625" style="70" hidden="1"/>
    <col min="14866" max="14868" width="9.140625" style="70" hidden="1"/>
    <col min="14869" max="14878" width="0" style="70" hidden="1"/>
    <col min="14879" max="14879" width="11.28515625" style="70" hidden="1"/>
    <col min="14880" max="14880" width="12" style="70" hidden="1"/>
    <col min="14881" max="15100" width="9.140625" style="70" hidden="1"/>
    <col min="15101" max="15101" width="26.42578125" style="70" hidden="1"/>
    <col min="15102" max="15102" width="15.7109375" style="70" hidden="1"/>
    <col min="15103" max="15103" width="33.7109375" style="70" hidden="1"/>
    <col min="15104" max="15104" width="26" style="70" hidden="1"/>
    <col min="15105" max="15105" width="10.7109375" style="70" hidden="1"/>
    <col min="15106" max="15106" width="12.42578125" style="70" hidden="1"/>
    <col min="15107" max="15108" width="12" style="70" hidden="1"/>
    <col min="15109" max="15110" width="10.7109375" style="70" hidden="1"/>
    <col min="15111" max="15111" width="11" style="70" hidden="1"/>
    <col min="15112" max="15120" width="10.7109375" style="70" hidden="1"/>
    <col min="15121" max="15121" width="13.140625" style="70" hidden="1"/>
    <col min="15122" max="15124" width="9.140625" style="70" hidden="1"/>
    <col min="15125" max="15134" width="0" style="70" hidden="1"/>
    <col min="15135" max="15135" width="11.28515625" style="70" hidden="1"/>
    <col min="15136" max="15136" width="12" style="70" hidden="1"/>
    <col min="15137" max="15356" width="9.140625" style="70" hidden="1"/>
    <col min="15357" max="15357" width="26.42578125" style="70" hidden="1"/>
    <col min="15358" max="15358" width="15.7109375" style="70" hidden="1"/>
    <col min="15359" max="15359" width="33.7109375" style="70" hidden="1"/>
    <col min="15360" max="15360" width="26" style="70" hidden="1"/>
    <col min="15361" max="15361" width="10.7109375" style="70" hidden="1"/>
    <col min="15362" max="15362" width="12.42578125" style="70" hidden="1"/>
    <col min="15363" max="15364" width="12" style="70" hidden="1"/>
    <col min="15365" max="15366" width="10.7109375" style="70" hidden="1"/>
    <col min="15367" max="15367" width="11" style="70" hidden="1"/>
    <col min="15368" max="15376" width="10.7109375" style="70" hidden="1"/>
    <col min="15377" max="15377" width="13.140625" style="70" hidden="1"/>
    <col min="15378" max="15380" width="9.140625" style="70" hidden="1"/>
    <col min="15381" max="15390" width="0" style="70" hidden="1"/>
    <col min="15391" max="15391" width="11.28515625" style="70" hidden="1"/>
    <col min="15392" max="15392" width="12" style="70" hidden="1"/>
    <col min="15393" max="15612" width="9.140625" style="70" hidden="1"/>
    <col min="15613" max="15613" width="26.42578125" style="70" hidden="1"/>
    <col min="15614" max="15614" width="15.7109375" style="70" hidden="1"/>
    <col min="15615" max="15615" width="33.7109375" style="70" hidden="1"/>
    <col min="15616" max="15616" width="26" style="70" hidden="1"/>
    <col min="15617" max="15617" width="10.7109375" style="70" hidden="1"/>
    <col min="15618" max="15618" width="12.42578125" style="70" hidden="1"/>
    <col min="15619" max="15620" width="12" style="70" hidden="1"/>
    <col min="15621" max="15622" width="10.7109375" style="70" hidden="1"/>
    <col min="15623" max="15623" width="11" style="70" hidden="1"/>
    <col min="15624" max="15632" width="10.7109375" style="70" hidden="1"/>
    <col min="15633" max="15633" width="13.140625" style="70" hidden="1"/>
    <col min="15634" max="15636" width="9.140625" style="70" hidden="1"/>
    <col min="15637" max="15646" width="0" style="70" hidden="1"/>
    <col min="15647" max="15647" width="11.28515625" style="70" hidden="1"/>
    <col min="15648" max="15648" width="12" style="70" hidden="1"/>
    <col min="15649" max="15868" width="9.140625" style="70" hidden="1"/>
    <col min="15869" max="15869" width="26.42578125" style="70" hidden="1"/>
    <col min="15870" max="15870" width="15.7109375" style="70" hidden="1"/>
    <col min="15871" max="15871" width="33.7109375" style="70" hidden="1"/>
    <col min="15872" max="15872" width="26" style="70" hidden="1"/>
    <col min="15873" max="15873" width="10.7109375" style="70" hidden="1"/>
    <col min="15874" max="15874" width="12.42578125" style="70" hidden="1"/>
    <col min="15875" max="15876" width="12" style="70" hidden="1"/>
    <col min="15877" max="15878" width="10.7109375" style="70" hidden="1"/>
    <col min="15879" max="15879" width="11" style="70" hidden="1"/>
    <col min="15880" max="15888" width="10.7109375" style="70" hidden="1"/>
    <col min="15889" max="15889" width="13.140625" style="70" hidden="1"/>
    <col min="15890" max="15892" width="9.140625" style="70" hidden="1"/>
    <col min="15893" max="15902" width="0" style="70" hidden="1"/>
    <col min="15903" max="15903" width="11.28515625" style="70" hidden="1"/>
    <col min="15904" max="15904" width="12" style="70" hidden="1"/>
    <col min="15905" max="16124" width="9.140625" style="70" hidden="1"/>
    <col min="16125" max="16125" width="26.42578125" style="70" hidden="1"/>
    <col min="16126" max="16126" width="15.7109375" style="70" hidden="1"/>
    <col min="16127" max="16127" width="33.7109375" style="70" hidden="1"/>
    <col min="16128" max="16128" width="26" style="70" hidden="1"/>
    <col min="16129" max="16129" width="10.7109375" style="70" hidden="1"/>
    <col min="16130" max="16130" width="12.42578125" style="70" hidden="1"/>
    <col min="16131" max="16132" width="12" style="70" hidden="1"/>
    <col min="16133" max="16134" width="10.7109375" style="70" hidden="1"/>
    <col min="16135" max="16135" width="11" style="70" hidden="1"/>
    <col min="16136" max="16144" width="10.7109375" style="70" hidden="1"/>
    <col min="16145" max="16145" width="13.140625" style="70" hidden="1"/>
    <col min="16146" max="16148" width="9.140625" style="70" hidden="1"/>
    <col min="16149" max="16158" width="0" style="70" hidden="1"/>
    <col min="16159" max="16159" width="11.28515625" style="70" hidden="1"/>
    <col min="16160" max="16160" width="12" style="70" hidden="1"/>
    <col min="16161" max="16168" width="0" style="70" hidden="1"/>
    <col min="16169" max="16169" width="11.28515625" style="70" hidden="1"/>
    <col min="16170" max="16172" width="12" style="70" hidden="1"/>
    <col min="16173" max="16384" width="9.140625" style="70" hidden="1"/>
  </cols>
  <sheetData>
    <row r="1" spans="1:32" ht="15" x14ac:dyDescent="0.25"/>
    <row r="2" spans="1:32" ht="37.5" customHeight="1" x14ac:dyDescent="0.25">
      <c r="A2" s="71" t="s">
        <v>92</v>
      </c>
      <c r="B2" s="72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/>
      <c r="V2"/>
      <c r="W2"/>
      <c r="X2"/>
      <c r="Y2"/>
      <c r="Z2"/>
      <c r="AA2"/>
      <c r="AB2"/>
      <c r="AC2"/>
      <c r="AD2"/>
      <c r="AE2"/>
      <c r="AF2"/>
    </row>
    <row r="3" spans="1:32" ht="15" x14ac:dyDescent="0.25">
      <c r="A3"/>
      <c r="B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/>
      <c r="V3"/>
      <c r="W3"/>
      <c r="X3"/>
      <c r="Y3"/>
      <c r="Z3"/>
      <c r="AA3"/>
      <c r="AB3"/>
      <c r="AC3"/>
      <c r="AD3"/>
      <c r="AE3"/>
      <c r="AF3"/>
    </row>
    <row r="4" spans="1:32" ht="34.5" customHeight="1" x14ac:dyDescent="0.25">
      <c r="A4" s="74" t="s">
        <v>93</v>
      </c>
      <c r="B4" s="75" t="s">
        <v>326</v>
      </c>
      <c r="C4" s="76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/>
      <c r="V4"/>
      <c r="W4"/>
      <c r="X4"/>
      <c r="Y4"/>
      <c r="Z4"/>
      <c r="AA4"/>
      <c r="AB4"/>
      <c r="AC4"/>
      <c r="AD4"/>
      <c r="AE4"/>
      <c r="AF4"/>
    </row>
    <row r="5" spans="1:32" ht="87" customHeight="1" x14ac:dyDescent="0.25">
      <c r="A5" s="74" t="s">
        <v>235</v>
      </c>
      <c r="B5" s="77">
        <v>70271000000</v>
      </c>
      <c r="C5" s="73"/>
      <c r="D5" s="78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/>
      <c r="V5"/>
      <c r="W5"/>
      <c r="X5"/>
      <c r="Y5"/>
      <c r="Z5"/>
      <c r="AA5"/>
      <c r="AB5"/>
      <c r="AC5"/>
      <c r="AD5"/>
      <c r="AE5"/>
      <c r="AF5"/>
    </row>
    <row r="6" spans="1:32" ht="15" x14ac:dyDescent="0.25">
      <c r="A6" s="73"/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/>
      <c r="V6"/>
      <c r="W6"/>
      <c r="X6"/>
      <c r="Y6"/>
      <c r="Z6"/>
      <c r="AA6"/>
      <c r="AB6"/>
      <c r="AC6"/>
      <c r="AD6"/>
      <c r="AE6"/>
      <c r="AF6"/>
    </row>
    <row r="7" spans="1:32" s="79" customFormat="1" ht="63.95" customHeight="1" x14ac:dyDescent="0.25">
      <c r="A7" s="206" t="s">
        <v>94</v>
      </c>
      <c r="B7" s="208" t="s">
        <v>95</v>
      </c>
      <c r="C7" s="206" t="s">
        <v>713</v>
      </c>
      <c r="D7" s="201">
        <v>2021</v>
      </c>
      <c r="E7" s="202"/>
      <c r="F7" s="202"/>
      <c r="G7" s="203"/>
      <c r="H7" s="201">
        <v>2022</v>
      </c>
      <c r="I7" s="202"/>
      <c r="J7" s="202"/>
      <c r="K7" s="203"/>
      <c r="L7" s="201">
        <v>2023</v>
      </c>
      <c r="M7" s="202"/>
      <c r="N7" s="202"/>
      <c r="O7" s="203"/>
      <c r="P7" s="201">
        <v>2024</v>
      </c>
      <c r="Q7" s="202"/>
      <c r="R7" s="202"/>
      <c r="S7" s="203"/>
      <c r="T7" s="204">
        <v>2025</v>
      </c>
      <c r="U7" s="204"/>
      <c r="V7" s="204"/>
      <c r="W7" s="204"/>
      <c r="X7" s="204">
        <v>2026</v>
      </c>
      <c r="Y7" s="204"/>
      <c r="Z7" s="204"/>
      <c r="AA7" s="204"/>
      <c r="AB7" s="204">
        <v>2027</v>
      </c>
      <c r="AC7" s="204"/>
      <c r="AD7" s="204"/>
      <c r="AE7" s="204"/>
      <c r="AF7" s="205" t="s">
        <v>96</v>
      </c>
    </row>
    <row r="8" spans="1:32" ht="59.25" customHeight="1" x14ac:dyDescent="0.25">
      <c r="A8" s="207"/>
      <c r="B8" s="209"/>
      <c r="C8" s="207"/>
      <c r="D8" s="80" t="s">
        <v>97</v>
      </c>
      <c r="E8" s="80" t="s">
        <v>98</v>
      </c>
      <c r="F8" s="80" t="s">
        <v>99</v>
      </c>
      <c r="G8" s="80" t="s">
        <v>100</v>
      </c>
      <c r="H8" s="80" t="s">
        <v>97</v>
      </c>
      <c r="I8" s="80" t="s">
        <v>98</v>
      </c>
      <c r="J8" s="80" t="s">
        <v>99</v>
      </c>
      <c r="K8" s="80" t="s">
        <v>100</v>
      </c>
      <c r="L8" s="80" t="s">
        <v>97</v>
      </c>
      <c r="M8" s="80" t="s">
        <v>98</v>
      </c>
      <c r="N8" s="80" t="s">
        <v>99</v>
      </c>
      <c r="O8" s="80" t="s">
        <v>100</v>
      </c>
      <c r="P8" s="80" t="s">
        <v>97</v>
      </c>
      <c r="Q8" s="80" t="s">
        <v>98</v>
      </c>
      <c r="R8" s="80" t="s">
        <v>99</v>
      </c>
      <c r="S8" s="80" t="s">
        <v>100</v>
      </c>
      <c r="T8" s="80" t="s">
        <v>97</v>
      </c>
      <c r="U8" s="80" t="s">
        <v>98</v>
      </c>
      <c r="V8" s="80" t="s">
        <v>99</v>
      </c>
      <c r="W8" s="80" t="s">
        <v>100</v>
      </c>
      <c r="X8" s="80" t="s">
        <v>97</v>
      </c>
      <c r="Y8" s="80" t="s">
        <v>98</v>
      </c>
      <c r="Z8" s="80" t="s">
        <v>99</v>
      </c>
      <c r="AA8" s="80" t="s">
        <v>100</v>
      </c>
      <c r="AB8" s="80" t="s">
        <v>97</v>
      </c>
      <c r="AC8" s="80" t="s">
        <v>98</v>
      </c>
      <c r="AD8" s="80" t="s">
        <v>99</v>
      </c>
      <c r="AE8" s="80" t="s">
        <v>100</v>
      </c>
      <c r="AF8" s="205"/>
    </row>
    <row r="9" spans="1:32" ht="47.25" customHeight="1" x14ac:dyDescent="0.25">
      <c r="A9" s="195" t="s">
        <v>83</v>
      </c>
      <c r="B9" s="81" t="s">
        <v>41</v>
      </c>
      <c r="C9" s="82">
        <v>0</v>
      </c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4"/>
      <c r="Y9" s="84"/>
      <c r="Z9" s="84"/>
      <c r="AA9" s="84"/>
      <c r="AB9" s="84"/>
      <c r="AC9" s="84"/>
      <c r="AD9" s="84"/>
      <c r="AE9" s="84"/>
      <c r="AF9" s="85">
        <f>SUM(D9:AE9)</f>
        <v>0</v>
      </c>
    </row>
    <row r="10" spans="1:32" ht="57.75" customHeight="1" x14ac:dyDescent="0.25">
      <c r="A10" s="195"/>
      <c r="B10" s="86" t="s">
        <v>2</v>
      </c>
      <c r="C10" s="193">
        <v>10195626874</v>
      </c>
      <c r="D10" s="83"/>
      <c r="E10" s="83"/>
      <c r="F10" s="83"/>
      <c r="G10" s="83"/>
      <c r="H10" s="83">
        <f>C10-I10-W10</f>
        <v>7683537551</v>
      </c>
      <c r="I10" s="83">
        <v>1840009799</v>
      </c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>
        <v>672079524</v>
      </c>
      <c r="X10" s="84"/>
      <c r="Y10" s="84"/>
      <c r="Z10" s="84"/>
      <c r="AA10" s="84"/>
      <c r="AB10" s="84"/>
      <c r="AC10" s="84"/>
      <c r="AD10" s="84"/>
      <c r="AE10" s="84"/>
      <c r="AF10" s="85">
        <f t="shared" ref="AF10:AF32" si="0">SUM(D10:AE10)</f>
        <v>10195626874</v>
      </c>
    </row>
    <row r="11" spans="1:32" ht="57.75" customHeight="1" x14ac:dyDescent="0.25">
      <c r="A11" s="195"/>
      <c r="B11" s="81" t="s">
        <v>101</v>
      </c>
      <c r="C11" s="87">
        <v>0</v>
      </c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4"/>
      <c r="Y11" s="84"/>
      <c r="Z11" s="84"/>
      <c r="AA11" s="84"/>
      <c r="AB11" s="84"/>
      <c r="AC11" s="84"/>
      <c r="AD11" s="84"/>
      <c r="AE11" s="84"/>
      <c r="AF11" s="85">
        <f t="shared" si="0"/>
        <v>0</v>
      </c>
    </row>
    <row r="12" spans="1:32" ht="57" customHeight="1" x14ac:dyDescent="0.25">
      <c r="A12" s="195"/>
      <c r="B12" s="88" t="s">
        <v>13</v>
      </c>
      <c r="C12" s="87">
        <v>4304188066</v>
      </c>
      <c r="D12" s="83"/>
      <c r="E12" s="83"/>
      <c r="F12" s="83"/>
      <c r="G12" s="83"/>
      <c r="H12" s="83"/>
      <c r="I12" s="83">
        <v>2826334043</v>
      </c>
      <c r="J12" s="83">
        <v>574081800</v>
      </c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>
        <v>903875484</v>
      </c>
      <c r="X12" s="84"/>
      <c r="Y12" s="84"/>
      <c r="Z12" s="84"/>
      <c r="AA12" s="84"/>
      <c r="AB12" s="84"/>
      <c r="AC12" s="84"/>
      <c r="AD12" s="84"/>
      <c r="AE12" s="84"/>
      <c r="AF12" s="85">
        <f t="shared" si="0"/>
        <v>4304291327</v>
      </c>
    </row>
    <row r="13" spans="1:32" ht="60" customHeight="1" x14ac:dyDescent="0.25">
      <c r="A13" s="195"/>
      <c r="B13" s="88" t="s">
        <v>61</v>
      </c>
      <c r="C13" s="87">
        <v>0</v>
      </c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4"/>
      <c r="Y13" s="84"/>
      <c r="Z13" s="84"/>
      <c r="AA13" s="84"/>
      <c r="AB13" s="84"/>
      <c r="AC13" s="84"/>
      <c r="AD13" s="84"/>
      <c r="AE13" s="84"/>
      <c r="AF13" s="85">
        <f t="shared" si="0"/>
        <v>0</v>
      </c>
    </row>
    <row r="14" spans="1:32" ht="44.25" customHeight="1" x14ac:dyDescent="0.25">
      <c r="A14" s="195"/>
      <c r="B14" s="86" t="s">
        <v>18</v>
      </c>
      <c r="C14" s="87">
        <v>227852793</v>
      </c>
      <c r="D14" s="83"/>
      <c r="E14" s="83"/>
      <c r="F14" s="83"/>
      <c r="G14" s="83"/>
      <c r="H14" s="83"/>
      <c r="I14" s="83"/>
      <c r="J14" s="83">
        <v>227852793</v>
      </c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4"/>
      <c r="Y14" s="84"/>
      <c r="Z14" s="84"/>
      <c r="AA14" s="84"/>
      <c r="AB14" s="84"/>
      <c r="AC14" s="84"/>
      <c r="AD14" s="84"/>
      <c r="AE14" s="84"/>
      <c r="AF14" s="85">
        <f t="shared" si="0"/>
        <v>227852793</v>
      </c>
    </row>
    <row r="15" spans="1:32" ht="69.75" customHeight="1" x14ac:dyDescent="0.25">
      <c r="A15" s="195"/>
      <c r="B15" s="86" t="s">
        <v>43</v>
      </c>
      <c r="C15" s="87">
        <v>14953735981</v>
      </c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>
        <f>C15</f>
        <v>14953735981</v>
      </c>
      <c r="P15" s="83"/>
      <c r="Q15" s="83"/>
      <c r="R15" s="83"/>
      <c r="S15" s="83"/>
      <c r="T15" s="83"/>
      <c r="U15" s="83"/>
      <c r="V15" s="83"/>
      <c r="W15" s="83"/>
      <c r="X15" s="84"/>
      <c r="Y15" s="84"/>
      <c r="Z15" s="84"/>
      <c r="AA15" s="84"/>
      <c r="AB15" s="84"/>
      <c r="AC15" s="84"/>
      <c r="AD15" s="84"/>
      <c r="AE15" s="84"/>
      <c r="AF15" s="85">
        <f t="shared" si="0"/>
        <v>14953735981</v>
      </c>
    </row>
    <row r="16" spans="1:32" ht="49.5" customHeight="1" x14ac:dyDescent="0.25">
      <c r="A16" s="195" t="s">
        <v>102</v>
      </c>
      <c r="B16" s="81" t="s">
        <v>19</v>
      </c>
      <c r="C16" s="87">
        <v>4272412270</v>
      </c>
      <c r="D16" s="83"/>
      <c r="E16" s="83"/>
      <c r="F16" s="83"/>
      <c r="G16" s="83"/>
      <c r="H16" s="83">
        <v>2118754982</v>
      </c>
      <c r="I16" s="83">
        <v>1283944085</v>
      </c>
      <c r="J16" s="83"/>
      <c r="K16" s="83"/>
      <c r="L16" s="83"/>
      <c r="M16" s="83"/>
      <c r="N16" s="83"/>
      <c r="O16" s="83"/>
      <c r="P16" s="83">
        <f>C16-H16-I16</f>
        <v>869713203</v>
      </c>
      <c r="Q16" s="83"/>
      <c r="R16" s="83"/>
      <c r="S16" s="83"/>
      <c r="T16" s="83"/>
      <c r="U16" s="83"/>
      <c r="V16" s="83"/>
      <c r="W16" s="83"/>
      <c r="X16" s="84"/>
      <c r="Y16" s="84"/>
      <c r="Z16" s="84"/>
      <c r="AA16" s="84"/>
      <c r="AB16" s="84"/>
      <c r="AC16" s="84"/>
      <c r="AD16" s="84"/>
      <c r="AE16" s="84"/>
      <c r="AF16" s="85">
        <f t="shared" si="0"/>
        <v>4272412270</v>
      </c>
    </row>
    <row r="17" spans="1:32" ht="53.25" customHeight="1" x14ac:dyDescent="0.25">
      <c r="A17" s="195"/>
      <c r="B17" s="81" t="s">
        <v>20</v>
      </c>
      <c r="C17" s="87">
        <v>0</v>
      </c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4"/>
      <c r="Y17" s="84"/>
      <c r="Z17" s="84"/>
      <c r="AA17" s="84"/>
      <c r="AB17" s="84"/>
      <c r="AC17" s="84"/>
      <c r="AD17" s="84"/>
      <c r="AE17" s="84"/>
      <c r="AF17" s="85">
        <f t="shared" si="0"/>
        <v>0</v>
      </c>
    </row>
    <row r="18" spans="1:32" ht="40.5" customHeight="1" x14ac:dyDescent="0.25">
      <c r="A18" s="195"/>
      <c r="B18" s="81" t="s">
        <v>44</v>
      </c>
      <c r="C18" s="87">
        <v>0</v>
      </c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4"/>
      <c r="Y18" s="84"/>
      <c r="Z18" s="84"/>
      <c r="AA18" s="84"/>
      <c r="AB18" s="84"/>
      <c r="AC18" s="84"/>
      <c r="AD18" s="84"/>
      <c r="AE18" s="84"/>
      <c r="AF18" s="85">
        <f t="shared" si="0"/>
        <v>0</v>
      </c>
    </row>
    <row r="19" spans="1:32" ht="40.5" customHeight="1" x14ac:dyDescent="0.25">
      <c r="A19" s="195"/>
      <c r="B19" s="81" t="s">
        <v>45</v>
      </c>
      <c r="C19" s="87">
        <v>440000000</v>
      </c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>
        <v>440000000</v>
      </c>
      <c r="S19" s="83"/>
      <c r="T19" s="83"/>
      <c r="U19" s="83"/>
      <c r="V19" s="83"/>
      <c r="W19" s="83"/>
      <c r="X19" s="84"/>
      <c r="Y19" s="84"/>
      <c r="Z19" s="84"/>
      <c r="AA19" s="84"/>
      <c r="AB19" s="84"/>
      <c r="AC19" s="84"/>
      <c r="AD19" s="84"/>
      <c r="AE19" s="84"/>
      <c r="AF19" s="85">
        <f t="shared" si="0"/>
        <v>440000000</v>
      </c>
    </row>
    <row r="20" spans="1:32" ht="60" customHeight="1" x14ac:dyDescent="0.25">
      <c r="A20" s="195"/>
      <c r="B20" s="81" t="s">
        <v>314</v>
      </c>
      <c r="C20" s="87">
        <v>2303683177</v>
      </c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>
        <f>C20</f>
        <v>2303683177</v>
      </c>
      <c r="P20" s="83"/>
      <c r="Q20" s="83"/>
      <c r="R20" s="83"/>
      <c r="S20" s="83"/>
      <c r="T20" s="83"/>
      <c r="U20" s="83"/>
      <c r="V20" s="83"/>
      <c r="W20" s="83"/>
      <c r="X20" s="84"/>
      <c r="Y20" s="84"/>
      <c r="Z20" s="84"/>
      <c r="AA20" s="84"/>
      <c r="AB20" s="84"/>
      <c r="AC20" s="84"/>
      <c r="AD20" s="84"/>
      <c r="AE20" s="84"/>
      <c r="AF20" s="85">
        <f t="shared" si="0"/>
        <v>2303683177</v>
      </c>
    </row>
    <row r="21" spans="1:32" ht="39.75" customHeight="1" x14ac:dyDescent="0.25">
      <c r="A21" s="195" t="s">
        <v>85</v>
      </c>
      <c r="B21" s="81" t="s">
        <v>21</v>
      </c>
      <c r="C21" s="87">
        <v>3147000000</v>
      </c>
      <c r="D21" s="83"/>
      <c r="E21" s="83"/>
      <c r="F21" s="83"/>
      <c r="G21" s="83"/>
      <c r="H21" s="83">
        <v>3147000000</v>
      </c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4"/>
      <c r="Y21" s="84"/>
      <c r="Z21" s="84"/>
      <c r="AA21" s="84"/>
      <c r="AB21" s="84"/>
      <c r="AC21" s="84"/>
      <c r="AD21" s="84"/>
      <c r="AE21" s="84"/>
      <c r="AF21" s="85">
        <f t="shared" si="0"/>
        <v>3147000000</v>
      </c>
    </row>
    <row r="22" spans="1:32" ht="39.75" customHeight="1" x14ac:dyDescent="0.25">
      <c r="A22" s="195"/>
      <c r="B22" s="81" t="s">
        <v>103</v>
      </c>
      <c r="C22" s="87">
        <v>40000000</v>
      </c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>
        <v>40000000</v>
      </c>
      <c r="P22" s="83"/>
      <c r="Q22" s="83"/>
      <c r="R22" s="83"/>
      <c r="S22" s="83"/>
      <c r="T22" s="83"/>
      <c r="U22" s="83"/>
      <c r="V22" s="83"/>
      <c r="W22" s="83"/>
      <c r="X22" s="84"/>
      <c r="Y22" s="84"/>
      <c r="Z22" s="84"/>
      <c r="AA22" s="84"/>
      <c r="AB22" s="84"/>
      <c r="AC22" s="84"/>
      <c r="AD22" s="84"/>
      <c r="AE22" s="84"/>
      <c r="AF22" s="85">
        <f t="shared" si="0"/>
        <v>40000000</v>
      </c>
    </row>
    <row r="23" spans="1:32" ht="39.75" customHeight="1" x14ac:dyDescent="0.25">
      <c r="A23" s="195"/>
      <c r="B23" s="81" t="s">
        <v>22</v>
      </c>
      <c r="C23" s="87">
        <v>3929799000</v>
      </c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>
        <f>719920000</f>
        <v>719920000</v>
      </c>
      <c r="Q23" s="194"/>
      <c r="R23" s="194"/>
      <c r="S23" s="194">
        <v>1245454398</v>
      </c>
      <c r="T23" s="83"/>
      <c r="U23" s="83"/>
      <c r="V23" s="83"/>
      <c r="W23" s="83">
        <v>1964424602</v>
      </c>
      <c r="X23" s="84"/>
      <c r="Y23" s="84"/>
      <c r="Z23" s="84"/>
      <c r="AA23" s="84"/>
      <c r="AB23" s="84"/>
      <c r="AC23" s="84"/>
      <c r="AD23" s="84"/>
      <c r="AE23" s="84"/>
      <c r="AF23" s="85">
        <f t="shared" si="0"/>
        <v>3929799000</v>
      </c>
    </row>
    <row r="24" spans="1:32" ht="39.75" customHeight="1" x14ac:dyDescent="0.25">
      <c r="A24" s="195"/>
      <c r="B24" s="89" t="s">
        <v>23</v>
      </c>
      <c r="C24" s="87">
        <v>1382201000</v>
      </c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>
        <v>1382201000</v>
      </c>
      <c r="P24" s="83"/>
      <c r="Q24" s="83"/>
      <c r="R24" s="83"/>
      <c r="S24" s="83"/>
      <c r="T24" s="83"/>
      <c r="U24" s="83"/>
      <c r="V24" s="83"/>
      <c r="W24" s="83"/>
      <c r="X24" s="84"/>
      <c r="Y24" s="84"/>
      <c r="Z24" s="84"/>
      <c r="AA24" s="84"/>
      <c r="AB24" s="84"/>
      <c r="AC24" s="84"/>
      <c r="AD24" s="84"/>
      <c r="AE24" s="84"/>
      <c r="AF24" s="85">
        <f t="shared" si="0"/>
        <v>1382201000</v>
      </c>
    </row>
    <row r="25" spans="1:32" ht="39.75" customHeight="1" x14ac:dyDescent="0.25">
      <c r="A25" s="195"/>
      <c r="B25" s="86" t="s">
        <v>14</v>
      </c>
      <c r="C25" s="87">
        <v>3736720095</v>
      </c>
      <c r="D25" s="83"/>
      <c r="E25" s="83"/>
      <c r="F25" s="83"/>
      <c r="G25" s="83"/>
      <c r="H25" s="83">
        <f>1615912370+499974680</f>
        <v>2115887050</v>
      </c>
      <c r="I25" s="83">
        <f>C25-H25-W25</f>
        <v>1213799914</v>
      </c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>
        <v>407033131</v>
      </c>
      <c r="X25" s="84"/>
      <c r="Y25" s="84"/>
      <c r="Z25" s="84"/>
      <c r="AA25" s="84"/>
      <c r="AB25" s="84"/>
      <c r="AC25" s="84"/>
      <c r="AD25" s="84"/>
      <c r="AE25" s="84"/>
      <c r="AF25" s="85">
        <f t="shared" si="0"/>
        <v>3736720095</v>
      </c>
    </row>
    <row r="26" spans="1:32" ht="39.75" customHeight="1" x14ac:dyDescent="0.25">
      <c r="A26" s="195"/>
      <c r="B26" s="81" t="s">
        <v>15</v>
      </c>
      <c r="C26" s="87">
        <v>3511125704</v>
      </c>
      <c r="D26" s="83"/>
      <c r="E26" s="83"/>
      <c r="F26" s="83"/>
      <c r="G26" s="83"/>
      <c r="H26" s="83"/>
      <c r="I26" s="83">
        <v>2810799550</v>
      </c>
      <c r="J26" s="83">
        <v>52725864</v>
      </c>
      <c r="K26" s="83">
        <v>647600290</v>
      </c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4"/>
      <c r="Y26" s="84"/>
      <c r="Z26" s="84"/>
      <c r="AA26" s="84"/>
      <c r="AB26" s="84"/>
      <c r="AC26" s="84"/>
      <c r="AD26" s="84"/>
      <c r="AE26" s="84"/>
      <c r="AF26" s="85">
        <f t="shared" si="0"/>
        <v>3511125704</v>
      </c>
    </row>
    <row r="27" spans="1:32" ht="39.75" customHeight="1" x14ac:dyDescent="0.25">
      <c r="A27" s="195"/>
      <c r="B27" s="81" t="s">
        <v>49</v>
      </c>
      <c r="C27" s="87">
        <v>3081000000</v>
      </c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>
        <f>3081000000-2571000000</f>
        <v>510000000</v>
      </c>
      <c r="Q27" s="83">
        <f>2571000000</f>
        <v>2571000000</v>
      </c>
      <c r="R27" s="83"/>
      <c r="S27" s="83"/>
      <c r="T27" s="83"/>
      <c r="U27" s="83"/>
      <c r="V27" s="83"/>
      <c r="W27" s="83"/>
      <c r="X27" s="84"/>
      <c r="Y27" s="84"/>
      <c r="Z27" s="84"/>
      <c r="AA27" s="84"/>
      <c r="AB27" s="84"/>
      <c r="AC27" s="84"/>
      <c r="AD27" s="84"/>
      <c r="AE27" s="84"/>
      <c r="AF27" s="85">
        <f t="shared" si="0"/>
        <v>3081000000</v>
      </c>
    </row>
    <row r="28" spans="1:32" ht="39.75" customHeight="1" x14ac:dyDescent="0.25">
      <c r="A28" s="195"/>
      <c r="B28" s="90" t="s">
        <v>50</v>
      </c>
      <c r="C28" s="87">
        <v>5783043420</v>
      </c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>
        <f>C28</f>
        <v>5783043420</v>
      </c>
      <c r="P28" s="83"/>
      <c r="Q28" s="83"/>
      <c r="R28" s="83"/>
      <c r="S28" s="83"/>
      <c r="T28" s="83"/>
      <c r="U28" s="83"/>
      <c r="V28" s="83"/>
      <c r="W28" s="83"/>
      <c r="X28" s="84"/>
      <c r="Y28" s="84"/>
      <c r="Z28" s="84"/>
      <c r="AA28" s="84"/>
      <c r="AB28" s="84"/>
      <c r="AC28" s="84"/>
      <c r="AD28" s="84"/>
      <c r="AE28" s="84"/>
      <c r="AF28" s="85">
        <f t="shared" si="0"/>
        <v>5783043420</v>
      </c>
    </row>
    <row r="29" spans="1:32" ht="47.25" customHeight="1" x14ac:dyDescent="0.25">
      <c r="A29" s="196" t="s">
        <v>86</v>
      </c>
      <c r="B29" s="91" t="s">
        <v>53</v>
      </c>
      <c r="C29" s="87">
        <v>1512464381</v>
      </c>
      <c r="D29" s="83"/>
      <c r="E29" s="83"/>
      <c r="F29" s="83"/>
      <c r="G29" s="83"/>
      <c r="H29" s="83"/>
      <c r="I29" s="83">
        <v>1259538000</v>
      </c>
      <c r="J29" s="83"/>
      <c r="K29" s="83"/>
      <c r="L29" s="83">
        <v>252926381</v>
      </c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4"/>
      <c r="Y29" s="84"/>
      <c r="Z29" s="84"/>
      <c r="AA29" s="84"/>
      <c r="AB29" s="84"/>
      <c r="AC29" s="84"/>
      <c r="AD29" s="84"/>
      <c r="AE29" s="84"/>
      <c r="AF29" s="85">
        <f t="shared" si="0"/>
        <v>1512464381</v>
      </c>
    </row>
    <row r="30" spans="1:32" ht="39.75" customHeight="1" x14ac:dyDescent="0.25">
      <c r="A30" s="197"/>
      <c r="B30" s="91" t="s">
        <v>54</v>
      </c>
      <c r="C30" s="87">
        <v>802000000</v>
      </c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>
        <v>802000000</v>
      </c>
      <c r="X30" s="84"/>
      <c r="Y30" s="84"/>
      <c r="Z30" s="84"/>
      <c r="AA30" s="84"/>
      <c r="AB30" s="84"/>
      <c r="AC30" s="84"/>
      <c r="AD30" s="84"/>
      <c r="AE30" s="84"/>
      <c r="AF30" s="85">
        <f t="shared" si="0"/>
        <v>802000000</v>
      </c>
    </row>
    <row r="31" spans="1:32" ht="39.75" customHeight="1" x14ac:dyDescent="0.25">
      <c r="A31" s="197"/>
      <c r="B31" s="91" t="s">
        <v>55</v>
      </c>
      <c r="C31" s="87">
        <v>1150000000</v>
      </c>
      <c r="D31" s="83"/>
      <c r="E31" s="83"/>
      <c r="F31" s="83"/>
      <c r="G31" s="83"/>
      <c r="H31" s="83"/>
      <c r="I31" s="83">
        <f>C31</f>
        <v>1150000000</v>
      </c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4"/>
      <c r="Y31" s="84"/>
      <c r="Z31" s="84"/>
      <c r="AA31" s="84"/>
      <c r="AB31" s="84"/>
      <c r="AC31" s="84"/>
      <c r="AD31" s="84"/>
      <c r="AE31" s="84"/>
      <c r="AF31" s="85">
        <f t="shared" si="0"/>
        <v>1150000000</v>
      </c>
    </row>
    <row r="32" spans="1:32" ht="39.75" customHeight="1" x14ac:dyDescent="0.25">
      <c r="A32" s="197"/>
      <c r="B32" s="91" t="s">
        <v>56</v>
      </c>
      <c r="C32" s="87">
        <v>2748147239</v>
      </c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194">
        <v>1532098159</v>
      </c>
      <c r="U32" s="83"/>
      <c r="V32" s="83"/>
      <c r="W32" s="83">
        <f>C32-T32</f>
        <v>1216049080</v>
      </c>
      <c r="X32" s="84"/>
      <c r="Y32" s="84"/>
      <c r="Z32" s="84"/>
      <c r="AA32" s="84"/>
      <c r="AB32" s="84"/>
      <c r="AC32" s="84"/>
      <c r="AD32" s="84"/>
      <c r="AE32" s="84"/>
      <c r="AF32" s="85">
        <f t="shared" si="0"/>
        <v>2748147239</v>
      </c>
    </row>
    <row r="33" spans="1:32" ht="39.75" customHeight="1" x14ac:dyDescent="0.25">
      <c r="A33" s="198"/>
      <c r="B33" s="91" t="s">
        <v>59</v>
      </c>
      <c r="C33" s="87">
        <v>2750000000</v>
      </c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>
        <f>C33</f>
        <v>2750000000</v>
      </c>
      <c r="P33" s="83"/>
      <c r="Q33" s="83"/>
      <c r="R33" s="83"/>
      <c r="S33" s="83"/>
      <c r="T33" s="83"/>
      <c r="U33" s="83"/>
      <c r="V33" s="83"/>
      <c r="W33" s="83"/>
      <c r="X33" s="84"/>
      <c r="Y33" s="84"/>
      <c r="Z33" s="84"/>
      <c r="AA33" s="84"/>
      <c r="AB33" s="84"/>
      <c r="AC33" s="84"/>
      <c r="AD33" s="84"/>
      <c r="AE33" s="84"/>
      <c r="AF33" s="85">
        <f>SUM(D33:AE33)</f>
        <v>2750000000</v>
      </c>
    </row>
    <row r="34" spans="1:32" ht="35.25" customHeight="1" x14ac:dyDescent="0.25">
      <c r="A34" s="199" t="s">
        <v>63</v>
      </c>
      <c r="B34" s="200"/>
      <c r="C34" s="92">
        <f>SUM(C9:C33)</f>
        <v>70271000000</v>
      </c>
      <c r="D34" s="92">
        <f>SUM(D9:D33)</f>
        <v>0</v>
      </c>
      <c r="E34" s="92">
        <f t="shared" ref="E34:AE34" si="1">SUM(E9:E33)</f>
        <v>0</v>
      </c>
      <c r="F34" s="92">
        <f t="shared" si="1"/>
        <v>0</v>
      </c>
      <c r="G34" s="92">
        <f t="shared" si="1"/>
        <v>0</v>
      </c>
      <c r="H34" s="92">
        <f t="shared" si="1"/>
        <v>15065179583</v>
      </c>
      <c r="I34" s="92">
        <f t="shared" si="1"/>
        <v>12384425391</v>
      </c>
      <c r="J34" s="92">
        <f t="shared" si="1"/>
        <v>854660457</v>
      </c>
      <c r="K34" s="92">
        <f t="shared" si="1"/>
        <v>647600290</v>
      </c>
      <c r="L34" s="92">
        <f t="shared" si="1"/>
        <v>252926381</v>
      </c>
      <c r="M34" s="92">
        <f t="shared" si="1"/>
        <v>0</v>
      </c>
      <c r="N34" s="92">
        <f t="shared" si="1"/>
        <v>0</v>
      </c>
      <c r="O34" s="92">
        <f t="shared" si="1"/>
        <v>27212663578</v>
      </c>
      <c r="P34" s="92">
        <f t="shared" si="1"/>
        <v>2099633203</v>
      </c>
      <c r="Q34" s="92">
        <f t="shared" si="1"/>
        <v>2571000000</v>
      </c>
      <c r="R34" s="92">
        <f t="shared" si="1"/>
        <v>440000000</v>
      </c>
      <c r="S34" s="92">
        <f t="shared" si="1"/>
        <v>1245454398</v>
      </c>
      <c r="T34" s="92">
        <f t="shared" si="1"/>
        <v>1532098159</v>
      </c>
      <c r="U34" s="92">
        <f t="shared" si="1"/>
        <v>0</v>
      </c>
      <c r="V34" s="92">
        <f t="shared" si="1"/>
        <v>0</v>
      </c>
      <c r="W34" s="92">
        <f t="shared" si="1"/>
        <v>5965461821</v>
      </c>
      <c r="X34" s="92">
        <f t="shared" si="1"/>
        <v>0</v>
      </c>
      <c r="Y34" s="92">
        <f t="shared" si="1"/>
        <v>0</v>
      </c>
      <c r="Z34" s="92">
        <f t="shared" si="1"/>
        <v>0</v>
      </c>
      <c r="AA34" s="92">
        <f t="shared" si="1"/>
        <v>0</v>
      </c>
      <c r="AB34" s="92">
        <f t="shared" si="1"/>
        <v>0</v>
      </c>
      <c r="AC34" s="92">
        <f t="shared" si="1"/>
        <v>0</v>
      </c>
      <c r="AD34" s="92">
        <f t="shared" si="1"/>
        <v>0</v>
      </c>
      <c r="AE34" s="92">
        <f t="shared" si="1"/>
        <v>0</v>
      </c>
      <c r="AF34" s="92">
        <f>SUM(AF9:AF33)</f>
        <v>70271103261</v>
      </c>
    </row>
    <row r="35" spans="1:32" ht="15" x14ac:dyDescent="0.25">
      <c r="A35" s="73"/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/>
      <c r="V35"/>
      <c r="W35"/>
      <c r="X35"/>
      <c r="Y35"/>
      <c r="Z35"/>
      <c r="AA35"/>
      <c r="AB35"/>
      <c r="AC35"/>
      <c r="AD35"/>
      <c r="AE35"/>
      <c r="AF35"/>
    </row>
    <row r="36" spans="1:32" ht="15" x14ac:dyDescent="0.25"/>
    <row r="37" spans="1:32" ht="15" x14ac:dyDescent="0.25"/>
    <row r="38" spans="1:32" ht="15" x14ac:dyDescent="0.25"/>
    <row r="39" spans="1:32" ht="15" x14ac:dyDescent="0.25"/>
    <row r="40" spans="1:32" ht="15" x14ac:dyDescent="0.25"/>
    <row r="41" spans="1:32" ht="15" x14ac:dyDescent="0.25"/>
    <row r="42" spans="1:32" ht="15" x14ac:dyDescent="0.25"/>
    <row r="43" spans="1:32" ht="15" x14ac:dyDescent="0.25"/>
    <row r="44" spans="1:32" ht="15" x14ac:dyDescent="0.25"/>
    <row r="45" spans="1:32" ht="15" x14ac:dyDescent="0.25"/>
    <row r="46" spans="1:32" ht="15" x14ac:dyDescent="0.25"/>
    <row r="47" spans="1:32" ht="15" x14ac:dyDescent="0.25"/>
    <row r="48" spans="1:32" ht="15" x14ac:dyDescent="0.25"/>
    <row r="49" ht="15" customHeight="1" x14ac:dyDescent="0.25"/>
    <row r="50" ht="15" customHeight="1" x14ac:dyDescent="0.25"/>
  </sheetData>
  <sheetProtection formatCells="0" insertColumns="0" insertRows="0"/>
  <protectedRanges>
    <protectedRange sqref="D9:H33" name="Tartomány1"/>
    <protectedRange sqref="V9:AE29 V31:AE33 V30 X30:AE30" name="Tartomány1_1"/>
    <protectedRange sqref="T32 I9:S33 W30" name="Tartomány1_4"/>
    <protectedRange sqref="T9:U31 T33:U33 U32" name="Tartomány1_1_3"/>
  </protectedRanges>
  <mergeCells count="16">
    <mergeCell ref="T7:W7"/>
    <mergeCell ref="X7:AA7"/>
    <mergeCell ref="AB7:AE7"/>
    <mergeCell ref="AF7:AF8"/>
    <mergeCell ref="A9:A15"/>
    <mergeCell ref="A7:A8"/>
    <mergeCell ref="B7:B8"/>
    <mergeCell ref="C7:C8"/>
    <mergeCell ref="D7:G7"/>
    <mergeCell ref="H7:K7"/>
    <mergeCell ref="L7:O7"/>
    <mergeCell ref="A16:A20"/>
    <mergeCell ref="A21:A28"/>
    <mergeCell ref="A29:A33"/>
    <mergeCell ref="A34:B34"/>
    <mergeCell ref="P7:S7"/>
  </mergeCells>
  <pageMargins left="0.70866141732283472" right="0.70866141732283472" top="0.74803149606299213" bottom="0.74803149606299213" header="0.31496062992125984" footer="0.31496062992125984"/>
  <pageSetup paperSize="8" scale="43" fitToHeight="7" pageOrder="overThenDown" orientation="landscape" r:id="rId1"/>
  <headerFooter>
    <oddHeader>&amp;A</oddHeader>
    <oddFooter>&amp;P. oldal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5"/>
  <sheetViews>
    <sheetView workbookViewId="0">
      <selection activeCell="D4" sqref="D4"/>
    </sheetView>
  </sheetViews>
  <sheetFormatPr defaultColWidth="8.85546875" defaultRowHeight="15" x14ac:dyDescent="0.25"/>
  <cols>
    <col min="1" max="1" width="26.140625" customWidth="1"/>
    <col min="2" max="2" width="19.42578125" customWidth="1"/>
    <col min="3" max="3" width="18.28515625" customWidth="1"/>
    <col min="4" max="4" width="16.140625" customWidth="1"/>
    <col min="5" max="5" width="16.42578125" customWidth="1"/>
    <col min="6" max="6" width="18.140625" bestFit="1" customWidth="1"/>
    <col min="7" max="7" width="16" bestFit="1" customWidth="1"/>
    <col min="8" max="8" width="16.42578125" customWidth="1"/>
    <col min="9" max="9" width="17" bestFit="1" customWidth="1"/>
    <col min="10" max="10" width="16" bestFit="1" customWidth="1"/>
    <col min="11" max="11" width="18.7109375" customWidth="1"/>
    <col min="12" max="12" width="18" customWidth="1"/>
  </cols>
  <sheetData>
    <row r="1" spans="1:11" x14ac:dyDescent="0.25">
      <c r="A1" s="68" t="s">
        <v>76</v>
      </c>
      <c r="B1" s="68"/>
    </row>
    <row r="2" spans="1:11" ht="75" x14ac:dyDescent="0.25">
      <c r="A2" s="63" t="s">
        <v>65</v>
      </c>
      <c r="B2" s="62" t="s">
        <v>72</v>
      </c>
      <c r="C2" s="62" t="s">
        <v>71</v>
      </c>
      <c r="D2" s="62" t="s">
        <v>66</v>
      </c>
      <c r="E2" s="62" t="s">
        <v>314</v>
      </c>
      <c r="F2" s="62" t="s">
        <v>67</v>
      </c>
      <c r="G2" s="62" t="s">
        <v>73</v>
      </c>
      <c r="H2" s="62" t="s">
        <v>74</v>
      </c>
      <c r="I2" s="62" t="s">
        <v>68</v>
      </c>
      <c r="J2" s="62" t="s">
        <v>69</v>
      </c>
      <c r="K2" s="62" t="s">
        <v>70</v>
      </c>
    </row>
    <row r="3" spans="1:11" x14ac:dyDescent="0.25">
      <c r="A3" s="64" t="s">
        <v>243</v>
      </c>
      <c r="B3" s="158">
        <v>68325793</v>
      </c>
      <c r="C3" s="158">
        <v>679676790</v>
      </c>
      <c r="D3" s="158">
        <v>0</v>
      </c>
      <c r="E3" s="158">
        <v>210745059</v>
      </c>
      <c r="F3" s="158">
        <v>158294448</v>
      </c>
      <c r="G3" s="158">
        <v>618268244</v>
      </c>
      <c r="H3" s="158">
        <v>1250000000</v>
      </c>
      <c r="I3" s="184">
        <f t="shared" ref="I3:I4" si="0">B3+C3+D3+E3+G3+H3</f>
        <v>2827015886</v>
      </c>
      <c r="J3" s="184">
        <f t="shared" ref="J3:J4" si="1">F3</f>
        <v>158294448</v>
      </c>
      <c r="K3" s="184">
        <f>I3+J3</f>
        <v>2985310334</v>
      </c>
    </row>
    <row r="4" spans="1:11" x14ac:dyDescent="0.25">
      <c r="A4" s="64" t="s">
        <v>244</v>
      </c>
      <c r="B4" s="158">
        <v>79527000</v>
      </c>
      <c r="C4" s="158">
        <v>8603885074</v>
      </c>
      <c r="D4" s="158">
        <v>0</v>
      </c>
      <c r="E4" s="158">
        <v>1471963474</v>
      </c>
      <c r="F4" s="158">
        <v>794746913</v>
      </c>
      <c r="G4" s="158">
        <v>3231575872</v>
      </c>
      <c r="H4" s="158">
        <v>1500000000</v>
      </c>
      <c r="I4" s="184">
        <f t="shared" si="0"/>
        <v>14886951420</v>
      </c>
      <c r="J4" s="184">
        <f t="shared" si="1"/>
        <v>794746913</v>
      </c>
      <c r="K4" s="184">
        <f t="shared" ref="K4:K5" si="2">I4+J4</f>
        <v>15681698333</v>
      </c>
    </row>
    <row r="5" spans="1:11" x14ac:dyDescent="0.25">
      <c r="A5" s="64" t="s">
        <v>245</v>
      </c>
      <c r="B5" s="158">
        <v>80000000</v>
      </c>
      <c r="C5" s="184">
        <f>5034012947-80000000+716057909+103261</f>
        <v>5670174117</v>
      </c>
      <c r="D5" s="184">
        <v>0</v>
      </c>
      <c r="E5" s="184">
        <v>620974644</v>
      </c>
      <c r="F5" s="158">
        <v>429159639</v>
      </c>
      <c r="G5" s="158">
        <f>1675883103+257316201</f>
        <v>1933199304</v>
      </c>
      <c r="H5" s="158">
        <v>0</v>
      </c>
      <c r="I5" s="184">
        <f>B5+C5+D5+E5+G5+H5</f>
        <v>8304348065</v>
      </c>
      <c r="J5" s="184">
        <f>F5</f>
        <v>429159639</v>
      </c>
      <c r="K5" s="184">
        <f t="shared" si="2"/>
        <v>8733507704</v>
      </c>
    </row>
    <row r="6" spans="1:11" x14ac:dyDescent="0.25">
      <c r="A6" s="64"/>
      <c r="B6" s="158"/>
      <c r="C6" s="184"/>
      <c r="D6" s="184"/>
      <c r="E6" s="184"/>
      <c r="F6" s="158"/>
      <c r="G6" s="158"/>
      <c r="H6" s="158"/>
      <c r="I6" s="158">
        <f>+B6+C6+D6+E6+G6+H6</f>
        <v>0</v>
      </c>
      <c r="J6" s="158">
        <f>+F6</f>
        <v>0</v>
      </c>
      <c r="K6" s="158">
        <f>+I6+J6</f>
        <v>0</v>
      </c>
    </row>
    <row r="7" spans="1:11" x14ac:dyDescent="0.25">
      <c r="A7" s="65" t="s">
        <v>63</v>
      </c>
      <c r="B7" s="159">
        <f t="shared" ref="B7:K7" si="3">SUM(B3:B6)</f>
        <v>227852793</v>
      </c>
      <c r="C7" s="262">
        <f t="shared" si="3"/>
        <v>14953735981</v>
      </c>
      <c r="D7" s="262">
        <f t="shared" si="3"/>
        <v>0</v>
      </c>
      <c r="E7" s="262">
        <f t="shared" si="3"/>
        <v>2303683177</v>
      </c>
      <c r="F7" s="159">
        <f t="shared" si="3"/>
        <v>1382201000</v>
      </c>
      <c r="G7" s="159">
        <f t="shared" si="3"/>
        <v>5783043420</v>
      </c>
      <c r="H7" s="159">
        <f t="shared" si="3"/>
        <v>2750000000</v>
      </c>
      <c r="I7" s="159">
        <f t="shared" si="3"/>
        <v>26018315371</v>
      </c>
      <c r="J7" s="158">
        <f t="shared" si="3"/>
        <v>1382201000</v>
      </c>
      <c r="K7" s="159">
        <f t="shared" si="3"/>
        <v>27400516371</v>
      </c>
    </row>
    <row r="8" spans="1:11" x14ac:dyDescent="0.25">
      <c r="C8" s="182"/>
    </row>
    <row r="9" spans="1:11" x14ac:dyDescent="0.25">
      <c r="A9" s="68" t="s">
        <v>75</v>
      </c>
    </row>
    <row r="10" spans="1:11" ht="75" x14ac:dyDescent="0.25">
      <c r="A10" s="63" t="s">
        <v>65</v>
      </c>
      <c r="B10" s="62" t="s">
        <v>72</v>
      </c>
      <c r="C10" s="62" t="s">
        <v>71</v>
      </c>
      <c r="D10" s="62" t="s">
        <v>66</v>
      </c>
      <c r="E10" s="62" t="s">
        <v>314</v>
      </c>
      <c r="F10" s="62" t="s">
        <v>67</v>
      </c>
      <c r="G10" s="62" t="s">
        <v>73</v>
      </c>
      <c r="H10" s="62" t="s">
        <v>74</v>
      </c>
      <c r="I10" s="62" t="s">
        <v>68</v>
      </c>
      <c r="J10" s="62" t="s">
        <v>69</v>
      </c>
      <c r="K10" s="62" t="s">
        <v>70</v>
      </c>
    </row>
    <row r="11" spans="1:11" x14ac:dyDescent="0.25">
      <c r="A11" s="64"/>
      <c r="B11" s="66"/>
      <c r="C11" s="66"/>
      <c r="D11" s="66"/>
      <c r="E11" s="66"/>
      <c r="F11" s="66"/>
      <c r="G11" s="66"/>
      <c r="H11" s="66"/>
      <c r="I11" s="66">
        <f>+B11+C11+D11+E11+G11+H11</f>
        <v>0</v>
      </c>
      <c r="J11" s="66">
        <f>+F11</f>
        <v>0</v>
      </c>
      <c r="K11" s="66">
        <f>+I11+J11</f>
        <v>0</v>
      </c>
    </row>
    <row r="12" spans="1:11" x14ac:dyDescent="0.25">
      <c r="A12" s="64"/>
      <c r="B12" s="66"/>
      <c r="C12" s="66"/>
      <c r="D12" s="66"/>
      <c r="E12" s="66"/>
      <c r="F12" s="66"/>
      <c r="G12" s="66"/>
      <c r="H12" s="66"/>
      <c r="I12" s="66">
        <f>+B12+C12+D12+E12+G12+H12</f>
        <v>0</v>
      </c>
      <c r="J12" s="66">
        <f>+F12</f>
        <v>0</v>
      </c>
      <c r="K12" s="66">
        <f>+I12+J12</f>
        <v>0</v>
      </c>
    </row>
    <row r="13" spans="1:11" x14ac:dyDescent="0.25">
      <c r="A13" s="64"/>
      <c r="B13" s="66"/>
      <c r="C13" s="66"/>
      <c r="D13" s="66"/>
      <c r="E13" s="66"/>
      <c r="F13" s="66"/>
      <c r="G13" s="66"/>
      <c r="H13" s="66"/>
      <c r="I13" s="66">
        <f>+B13+C13+D13+E13+G13+H13</f>
        <v>0</v>
      </c>
      <c r="J13" s="66">
        <f>+F13</f>
        <v>0</v>
      </c>
      <c r="K13" s="66">
        <f>+I13+J13</f>
        <v>0</v>
      </c>
    </row>
    <row r="14" spans="1:11" x14ac:dyDescent="0.25">
      <c r="A14" s="64"/>
      <c r="B14" s="66"/>
      <c r="C14" s="66"/>
      <c r="D14" s="66"/>
      <c r="E14" s="66"/>
      <c r="F14" s="66"/>
      <c r="G14" s="66"/>
      <c r="H14" s="66"/>
      <c r="I14" s="66">
        <f>+B14+C14+D14+E14+G14+H14</f>
        <v>0</v>
      </c>
      <c r="J14" s="66">
        <f>+F14</f>
        <v>0</v>
      </c>
      <c r="K14" s="66">
        <f>+I14+J14</f>
        <v>0</v>
      </c>
    </row>
    <row r="15" spans="1:11" x14ac:dyDescent="0.25">
      <c r="A15" s="65" t="s">
        <v>63</v>
      </c>
      <c r="B15" s="67">
        <f t="shared" ref="B15:I15" si="4">SUM(B11:B14)</f>
        <v>0</v>
      </c>
      <c r="C15" s="67">
        <f t="shared" si="4"/>
        <v>0</v>
      </c>
      <c r="D15" s="67">
        <f t="shared" si="4"/>
        <v>0</v>
      </c>
      <c r="E15" s="67">
        <f t="shared" si="4"/>
        <v>0</v>
      </c>
      <c r="F15" s="67">
        <f t="shared" si="4"/>
        <v>0</v>
      </c>
      <c r="G15" s="67">
        <f t="shared" si="4"/>
        <v>0</v>
      </c>
      <c r="H15" s="67">
        <f t="shared" si="4"/>
        <v>0</v>
      </c>
      <c r="I15" s="67">
        <f t="shared" si="4"/>
        <v>0</v>
      </c>
      <c r="J15" s="66">
        <f>+F15</f>
        <v>0</v>
      </c>
      <c r="K15" s="67">
        <f>SUM(K11:K14)</f>
        <v>0</v>
      </c>
    </row>
    <row r="17" spans="1:12" x14ac:dyDescent="0.25">
      <c r="A17" s="237" t="s">
        <v>325</v>
      </c>
      <c r="B17" s="237"/>
    </row>
    <row r="18" spans="1:12" ht="57.75" customHeight="1" x14ac:dyDescent="0.25">
      <c r="A18" s="229" t="s">
        <v>65</v>
      </c>
      <c r="B18" s="62" t="s">
        <v>66</v>
      </c>
      <c r="C18" s="62" t="s">
        <v>324</v>
      </c>
      <c r="D18" s="238" t="s">
        <v>73</v>
      </c>
      <c r="E18" s="238"/>
      <c r="F18" s="62" t="s">
        <v>74</v>
      </c>
      <c r="G18" s="155"/>
      <c r="H18" s="155"/>
      <c r="I18" s="155"/>
      <c r="J18" s="155"/>
      <c r="K18" s="155"/>
      <c r="L18" s="73"/>
    </row>
    <row r="19" spans="1:12" ht="150" x14ac:dyDescent="0.25">
      <c r="A19" s="229"/>
      <c r="B19" s="154" t="s">
        <v>312</v>
      </c>
      <c r="C19" s="154" t="s">
        <v>312</v>
      </c>
      <c r="D19" s="154" t="s">
        <v>323</v>
      </c>
      <c r="E19" s="154" t="s">
        <v>322</v>
      </c>
      <c r="F19" s="154" t="s">
        <v>321</v>
      </c>
      <c r="G19" s="153"/>
      <c r="H19" s="153"/>
      <c r="I19" s="153"/>
      <c r="J19" s="153"/>
      <c r="K19" s="153"/>
      <c r="L19" s="73"/>
    </row>
    <row r="20" spans="1:12" x14ac:dyDescent="0.25">
      <c r="A20" s="64" t="s">
        <v>244</v>
      </c>
      <c r="B20" s="156"/>
      <c r="C20" s="156">
        <v>450000000</v>
      </c>
      <c r="D20" s="156">
        <v>759540000</v>
      </c>
      <c r="E20" s="156"/>
      <c r="F20" s="156"/>
      <c r="G20" s="73"/>
      <c r="H20" s="73"/>
      <c r="I20" s="73"/>
      <c r="J20" s="73"/>
      <c r="K20" s="73"/>
      <c r="L20" s="73"/>
    </row>
    <row r="21" spans="1:12" x14ac:dyDescent="0.25">
      <c r="A21" s="64" t="s">
        <v>245</v>
      </c>
      <c r="B21" s="156"/>
      <c r="C21" s="156"/>
      <c r="D21" s="156">
        <v>410150000</v>
      </c>
      <c r="E21" s="156"/>
      <c r="F21" s="156"/>
      <c r="G21" s="73"/>
      <c r="H21" s="73"/>
      <c r="I21" s="73"/>
      <c r="J21" s="73"/>
      <c r="K21" s="73"/>
      <c r="L21" s="73"/>
    </row>
    <row r="22" spans="1:12" x14ac:dyDescent="0.25">
      <c r="A22" s="64" t="s">
        <v>243</v>
      </c>
      <c r="B22" s="156"/>
      <c r="C22" s="156"/>
      <c r="D22" s="156">
        <v>151310000</v>
      </c>
      <c r="E22" s="156"/>
      <c r="F22" s="156"/>
      <c r="G22" s="73"/>
      <c r="H22" s="73"/>
      <c r="I22" s="73"/>
      <c r="J22" s="73"/>
      <c r="K22" s="73"/>
      <c r="L22" s="73"/>
    </row>
    <row r="23" spans="1:12" x14ac:dyDescent="0.25">
      <c r="A23" s="64"/>
      <c r="B23" s="156"/>
      <c r="C23" s="156"/>
      <c r="D23" s="156"/>
      <c r="E23" s="156"/>
      <c r="F23" s="156"/>
      <c r="G23" s="73"/>
      <c r="H23" s="73"/>
      <c r="I23" s="73"/>
      <c r="J23" s="73"/>
      <c r="K23" s="73"/>
      <c r="L23" s="73"/>
    </row>
    <row r="24" spans="1:12" x14ac:dyDescent="0.25">
      <c r="A24" s="65" t="s">
        <v>63</v>
      </c>
      <c r="B24" s="69">
        <f>SUM(B20:B23)</f>
        <v>0</v>
      </c>
      <c r="C24" s="156">
        <f>SUM(C20:C23)</f>
        <v>450000000</v>
      </c>
      <c r="D24" s="156">
        <f>SUM(D20:D23)</f>
        <v>1321000000</v>
      </c>
      <c r="E24" s="69">
        <f>SUM(E20:E23)</f>
        <v>0</v>
      </c>
      <c r="F24" s="69"/>
      <c r="G24" s="73"/>
      <c r="H24" s="73"/>
      <c r="I24" s="73"/>
      <c r="J24" s="73"/>
      <c r="K24" s="73"/>
      <c r="L24" s="73"/>
    </row>
    <row r="25" spans="1:12" x14ac:dyDescent="0.25">
      <c r="A25" t="s">
        <v>320</v>
      </c>
    </row>
  </sheetData>
  <mergeCells count="3">
    <mergeCell ref="A17:B17"/>
    <mergeCell ref="A18:A19"/>
    <mergeCell ref="D18:E18"/>
  </mergeCells>
  <pageMargins left="0.70866141732283472" right="0.70866141732283472" top="0.74803149606299213" bottom="0.74803149606299213" header="0.31496062992125984" footer="0.31496062992125984"/>
  <pageSetup paperSize="8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4"/>
  <sheetViews>
    <sheetView workbookViewId="0">
      <selection activeCell="D14" sqref="D14"/>
    </sheetView>
  </sheetViews>
  <sheetFormatPr defaultColWidth="8.85546875" defaultRowHeight="15" x14ac:dyDescent="0.25"/>
  <cols>
    <col min="1" max="1" width="31.140625" customWidth="1"/>
    <col min="2" max="2" width="14.7109375" customWidth="1"/>
    <col min="3" max="3" width="13.85546875" customWidth="1"/>
    <col min="4" max="4" width="14.42578125" customWidth="1"/>
    <col min="5" max="5" width="12.7109375" customWidth="1"/>
    <col min="6" max="6" width="16.140625" customWidth="1"/>
    <col min="7" max="7" width="15.42578125" customWidth="1"/>
    <col min="8" max="8" width="18.42578125" customWidth="1"/>
    <col min="9" max="9" width="17.85546875" customWidth="1"/>
    <col min="10" max="10" width="18.42578125" customWidth="1"/>
  </cols>
  <sheetData>
    <row r="1" spans="1:10" ht="60" x14ac:dyDescent="0.25">
      <c r="A1" s="105" t="s">
        <v>263</v>
      </c>
      <c r="B1" s="105" t="s">
        <v>262</v>
      </c>
      <c r="C1" s="105" t="s">
        <v>261</v>
      </c>
      <c r="D1" s="105" t="s">
        <v>260</v>
      </c>
      <c r="E1" s="105" t="s">
        <v>259</v>
      </c>
      <c r="F1" s="105" t="s">
        <v>258</v>
      </c>
      <c r="G1" s="105" t="s">
        <v>257</v>
      </c>
      <c r="H1" s="105" t="s">
        <v>256</v>
      </c>
      <c r="I1" s="105" t="s">
        <v>255</v>
      </c>
      <c r="J1" s="105" t="s">
        <v>254</v>
      </c>
    </row>
    <row r="2" spans="1:10" x14ac:dyDescent="0.25">
      <c r="A2" s="102"/>
      <c r="B2" s="239"/>
      <c r="C2" s="239"/>
      <c r="D2" s="239"/>
      <c r="E2" s="239"/>
      <c r="F2" s="239"/>
      <c r="G2" s="239"/>
      <c r="H2" s="239"/>
      <c r="I2" s="239"/>
      <c r="J2" s="239"/>
    </row>
    <row r="3" spans="1:10" x14ac:dyDescent="0.25">
      <c r="A3" s="102"/>
      <c r="B3" s="240"/>
      <c r="C3" s="240"/>
      <c r="D3" s="240"/>
      <c r="E3" s="240"/>
      <c r="F3" s="240"/>
      <c r="G3" s="240"/>
      <c r="H3" s="240"/>
      <c r="I3" s="240"/>
      <c r="J3" s="240"/>
    </row>
    <row r="4" spans="1:10" x14ac:dyDescent="0.25">
      <c r="A4" s="102"/>
      <c r="B4" s="240"/>
      <c r="C4" s="240"/>
      <c r="D4" s="240"/>
      <c r="E4" s="240"/>
      <c r="F4" s="240"/>
      <c r="G4" s="240"/>
      <c r="H4" s="240"/>
      <c r="I4" s="240"/>
      <c r="J4" s="240"/>
    </row>
    <row r="5" spans="1:10" x14ac:dyDescent="0.25">
      <c r="A5" s="102"/>
      <c r="B5" s="240"/>
      <c r="C5" s="240"/>
      <c r="D5" s="240"/>
      <c r="E5" s="240"/>
      <c r="F5" s="240"/>
      <c r="G5" s="240"/>
      <c r="H5" s="240"/>
      <c r="I5" s="240"/>
      <c r="J5" s="240"/>
    </row>
    <row r="6" spans="1:10" x14ac:dyDescent="0.25">
      <c r="A6" s="102"/>
      <c r="B6" s="240"/>
      <c r="C6" s="240"/>
      <c r="D6" s="240"/>
      <c r="E6" s="240"/>
      <c r="F6" s="240"/>
      <c r="G6" s="240"/>
      <c r="H6" s="240"/>
      <c r="I6" s="240"/>
      <c r="J6" s="240"/>
    </row>
    <row r="7" spans="1:10" x14ac:dyDescent="0.25">
      <c r="A7" s="102"/>
      <c r="B7" s="240"/>
      <c r="C7" s="240"/>
      <c r="D7" s="240"/>
      <c r="E7" s="240"/>
      <c r="F7" s="240"/>
      <c r="G7" s="240"/>
      <c r="H7" s="240"/>
      <c r="I7" s="240"/>
      <c r="J7" s="240"/>
    </row>
    <row r="8" spans="1:10" x14ac:dyDescent="0.25">
      <c r="A8" s="102"/>
      <c r="B8" s="240"/>
      <c r="C8" s="240"/>
      <c r="D8" s="240"/>
      <c r="E8" s="240"/>
      <c r="F8" s="240"/>
      <c r="G8" s="240"/>
      <c r="H8" s="240"/>
      <c r="I8" s="240"/>
      <c r="J8" s="240"/>
    </row>
    <row r="9" spans="1:10" x14ac:dyDescent="0.25">
      <c r="A9" s="102"/>
      <c r="B9" s="241"/>
      <c r="C9" s="241"/>
      <c r="D9" s="241"/>
      <c r="E9" s="241"/>
      <c r="F9" s="241"/>
      <c r="G9" s="241"/>
      <c r="H9" s="241"/>
      <c r="I9" s="241"/>
      <c r="J9" s="241"/>
    </row>
    <row r="11" spans="1:10" ht="45" x14ac:dyDescent="0.25">
      <c r="A11" s="103" t="s">
        <v>253</v>
      </c>
      <c r="B11" s="103" t="s">
        <v>252</v>
      </c>
      <c r="C11" s="103" t="s">
        <v>251</v>
      </c>
      <c r="D11" s="103" t="s">
        <v>250</v>
      </c>
    </row>
    <row r="12" spans="1:10" ht="76.5" customHeight="1" x14ac:dyDescent="0.25">
      <c r="A12" s="102" t="s">
        <v>249</v>
      </c>
      <c r="B12" s="102">
        <f>+'[1]1. forrasösszesítő'!B2*0.1</f>
        <v>0</v>
      </c>
      <c r="C12" s="102"/>
      <c r="D12" s="69">
        <v>0</v>
      </c>
    </row>
    <row r="13" spans="1:10" ht="121.5" customHeight="1" x14ac:dyDescent="0.25">
      <c r="A13" s="102" t="s">
        <v>248</v>
      </c>
      <c r="B13" s="102">
        <f>+'[1]1. forrasösszesítő'!F40*0.15</f>
        <v>0</v>
      </c>
      <c r="C13" s="102"/>
      <c r="D13" s="69">
        <v>0</v>
      </c>
    </row>
    <row r="14" spans="1:10" ht="124.5" customHeight="1" x14ac:dyDescent="0.25">
      <c r="A14" s="102" t="s">
        <v>247</v>
      </c>
      <c r="B14" s="102">
        <f>+'[1]1. forrasösszesítő'!F37*0.15</f>
        <v>0</v>
      </c>
      <c r="C14" s="102"/>
      <c r="D14" s="69">
        <v>0</v>
      </c>
    </row>
  </sheetData>
  <mergeCells count="9">
    <mergeCell ref="H2:H9"/>
    <mergeCell ref="I2:I9"/>
    <mergeCell ref="J2:J9"/>
    <mergeCell ref="B2:B9"/>
    <mergeCell ref="C2:C9"/>
    <mergeCell ref="D2:D9"/>
    <mergeCell ref="E2:E9"/>
    <mergeCell ref="F2:F9"/>
    <mergeCell ref="G2:G9"/>
  </mergeCells>
  <pageMargins left="0.7" right="0.7" top="0.75" bottom="0.75" header="0.3" footer="0.3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2"/>
  <sheetViews>
    <sheetView workbookViewId="0">
      <selection activeCell="B9" sqref="B9"/>
    </sheetView>
  </sheetViews>
  <sheetFormatPr defaultColWidth="8.85546875" defaultRowHeight="15" x14ac:dyDescent="0.25"/>
  <cols>
    <col min="1" max="1" width="45.85546875" customWidth="1"/>
    <col min="2" max="2" width="41.42578125" customWidth="1"/>
  </cols>
  <sheetData>
    <row r="1" spans="1:2" ht="39.75" customHeight="1" x14ac:dyDescent="0.25">
      <c r="A1" s="58" t="s">
        <v>64</v>
      </c>
      <c r="B1" s="59" t="s">
        <v>35</v>
      </c>
    </row>
    <row r="2" spans="1:2" ht="30" x14ac:dyDescent="0.25">
      <c r="A2" s="60" t="s">
        <v>40</v>
      </c>
      <c r="B2" s="55">
        <f>'1. forrasösszesítő'!D10</f>
        <v>0</v>
      </c>
    </row>
    <row r="3" spans="1:2" x14ac:dyDescent="0.25">
      <c r="A3" s="60" t="s">
        <v>1</v>
      </c>
      <c r="B3" s="55">
        <f>'1. forrasösszesítő'!D12</f>
        <v>14499814940</v>
      </c>
    </row>
    <row r="4" spans="1:2" x14ac:dyDescent="0.25">
      <c r="A4" s="60" t="s">
        <v>17</v>
      </c>
      <c r="B4" s="55">
        <f>'1. forrasösszesítő'!D20</f>
        <v>15181588774</v>
      </c>
    </row>
    <row r="5" spans="1:2" x14ac:dyDescent="0.25">
      <c r="A5" s="60" t="s">
        <v>87</v>
      </c>
      <c r="B5" s="55">
        <f>'1. forrasösszesítő'!D23</f>
        <v>7016095447</v>
      </c>
    </row>
    <row r="6" spans="1:2" x14ac:dyDescent="0.25">
      <c r="A6" s="60" t="s">
        <v>3</v>
      </c>
      <c r="B6" s="55">
        <f>'1. forrasösszesítő'!D30</f>
        <v>7116799000</v>
      </c>
    </row>
    <row r="7" spans="1:2" x14ac:dyDescent="0.25">
      <c r="A7" s="60" t="s">
        <v>4</v>
      </c>
      <c r="B7" s="55">
        <f>'1. forrasösszesítő'!D34</f>
        <v>1382201000</v>
      </c>
    </row>
    <row r="8" spans="1:2" x14ac:dyDescent="0.25">
      <c r="A8" s="60" t="s">
        <v>16</v>
      </c>
      <c r="B8" s="55">
        <f>'1. forrasösszesítő'!D36</f>
        <v>10328845799</v>
      </c>
    </row>
    <row r="9" spans="1:2" x14ac:dyDescent="0.25">
      <c r="A9" s="60" t="s">
        <v>47</v>
      </c>
      <c r="B9" s="55">
        <f>'1. forrasösszesítő'!D44</f>
        <v>5783043420</v>
      </c>
    </row>
    <row r="10" spans="1:2" x14ac:dyDescent="0.25">
      <c r="A10" s="60" t="s">
        <v>52</v>
      </c>
      <c r="B10" s="55">
        <f>'1. forrasösszesítő'!D46</f>
        <v>6212611620</v>
      </c>
    </row>
    <row r="11" spans="1:2" ht="15.75" thickBot="1" x14ac:dyDescent="0.3">
      <c r="A11" s="61" t="s">
        <v>58</v>
      </c>
      <c r="B11" s="56">
        <f>'1. forrasösszesítő'!D51</f>
        <v>2750000000</v>
      </c>
    </row>
    <row r="12" spans="1:2" ht="16.5" thickBot="1" x14ac:dyDescent="0.3">
      <c r="A12" s="54" t="s">
        <v>63</v>
      </c>
      <c r="B12" s="57">
        <f>SUM(B2:B11)</f>
        <v>70271000000</v>
      </c>
    </row>
  </sheetData>
  <customSheetViews>
    <customSheetView guid="{BA39A66F-2AC6-4033-9771-EB339C8851A1}">
      <selection activeCell="A18" sqref="A18"/>
      <pageMargins left="0.7" right="0.7" top="0.75" bottom="0.75" header="0.3" footer="0.3"/>
    </customSheetView>
    <customSheetView guid="{CDDE5582-318E-4169-A2B3-E6801A91775C}">
      <selection activeCell="J34" sqref="J34"/>
      <pageMargins left="0.7" right="0.7" top="0.75" bottom="0.75" header="0.3" footer="0.3"/>
    </customSheetView>
  </customSheetViews>
  <conditionalFormatting sqref="B12">
    <cfRule type="cellIs" dxfId="0" priority="51" operator="equal">
      <formula>#REF!</formula>
    </cfRule>
  </conditionalFormatting>
  <pageMargins left="1" right="1" top="1" bottom="1" header="0.5" footer="0.5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189"/>
  <sheetViews>
    <sheetView topLeftCell="A12" workbookViewId="0">
      <selection activeCell="D9" sqref="D9"/>
    </sheetView>
  </sheetViews>
  <sheetFormatPr defaultColWidth="9.140625" defaultRowHeight="15" x14ac:dyDescent="0.25"/>
  <cols>
    <col min="1" max="1" width="9.42578125" customWidth="1"/>
    <col min="2" max="3" width="18.85546875" customWidth="1"/>
    <col min="4" max="4" width="18.42578125" customWidth="1"/>
    <col min="5" max="5" width="21.42578125" customWidth="1"/>
    <col min="6" max="6" width="20.42578125" customWidth="1"/>
    <col min="7" max="7" width="34.85546875" style="192" customWidth="1"/>
    <col min="8" max="8" width="16.140625" customWidth="1"/>
    <col min="9" max="9" width="31.85546875" customWidth="1"/>
    <col min="10" max="10" width="14.5703125" customWidth="1"/>
    <col min="11" max="11" width="16.85546875" customWidth="1"/>
    <col min="12" max="12" width="12" customWidth="1"/>
    <col min="13" max="17" width="13.85546875" customWidth="1"/>
    <col min="18" max="20" width="17.85546875" customWidth="1"/>
    <col min="21" max="21" width="22" customWidth="1"/>
    <col min="22" max="23" width="17.85546875" customWidth="1"/>
    <col min="24" max="32" width="22.140625" customWidth="1"/>
    <col min="33" max="33" width="22.85546875" customWidth="1"/>
  </cols>
  <sheetData>
    <row r="1" spans="1:33" ht="27" customHeight="1" x14ac:dyDescent="0.25">
      <c r="A1" s="242" t="s">
        <v>302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43"/>
      <c r="X1" s="243"/>
      <c r="Y1" s="243"/>
      <c r="Z1" s="243"/>
      <c r="AA1" s="243"/>
      <c r="AB1" s="243"/>
      <c r="AC1" s="243"/>
      <c r="AD1" s="243"/>
      <c r="AE1" s="243"/>
      <c r="AF1" s="243"/>
      <c r="AG1" s="243"/>
    </row>
    <row r="2" spans="1:33" ht="53.25" customHeight="1" x14ac:dyDescent="0.25">
      <c r="A2" s="244" t="s">
        <v>301</v>
      </c>
      <c r="B2" s="246" t="s">
        <v>300</v>
      </c>
      <c r="C2" s="246" t="s">
        <v>299</v>
      </c>
      <c r="D2" s="246" t="s">
        <v>298</v>
      </c>
      <c r="E2" s="246" t="s">
        <v>297</v>
      </c>
      <c r="F2" s="246" t="s">
        <v>296</v>
      </c>
      <c r="G2" s="246" t="s">
        <v>295</v>
      </c>
      <c r="H2" s="246" t="s">
        <v>294</v>
      </c>
      <c r="I2" s="108" t="s">
        <v>293</v>
      </c>
      <c r="J2" s="248" t="s">
        <v>681</v>
      </c>
      <c r="K2" s="248" t="s">
        <v>682</v>
      </c>
      <c r="L2" s="248" t="s">
        <v>683</v>
      </c>
      <c r="M2" s="248" t="s">
        <v>684</v>
      </c>
      <c r="N2" s="248" t="s">
        <v>685</v>
      </c>
      <c r="O2" s="248" t="s">
        <v>686</v>
      </c>
      <c r="P2" s="248" t="s">
        <v>687</v>
      </c>
      <c r="Q2" s="248" t="s">
        <v>688</v>
      </c>
      <c r="R2" s="248" t="s">
        <v>689</v>
      </c>
      <c r="S2" s="248" t="s">
        <v>690</v>
      </c>
      <c r="T2" s="248" t="s">
        <v>691</v>
      </c>
      <c r="U2" s="248" t="s">
        <v>692</v>
      </c>
      <c r="V2" s="248" t="s">
        <v>693</v>
      </c>
      <c r="W2" s="248" t="s">
        <v>694</v>
      </c>
      <c r="X2" s="248" t="s">
        <v>695</v>
      </c>
      <c r="Y2" s="248" t="s">
        <v>696</v>
      </c>
      <c r="Z2" s="248" t="s">
        <v>697</v>
      </c>
      <c r="AA2" s="248" t="s">
        <v>698</v>
      </c>
      <c r="AB2" s="248" t="s">
        <v>699</v>
      </c>
      <c r="AC2" s="248" t="s">
        <v>700</v>
      </c>
      <c r="AD2" s="248" t="s">
        <v>701</v>
      </c>
      <c r="AE2" s="248" t="s">
        <v>702</v>
      </c>
      <c r="AF2" s="248" t="s">
        <v>703</v>
      </c>
      <c r="AG2" s="248" t="s">
        <v>704</v>
      </c>
    </row>
    <row r="3" spans="1:33" ht="54" customHeight="1" x14ac:dyDescent="0.25">
      <c r="A3" s="245"/>
      <c r="B3" s="247"/>
      <c r="C3" s="247"/>
      <c r="D3" s="247"/>
      <c r="E3" s="247"/>
      <c r="F3" s="247"/>
      <c r="G3" s="247"/>
      <c r="H3" s="247"/>
      <c r="I3" s="107" t="s">
        <v>292</v>
      </c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  <c r="AE3" s="249"/>
      <c r="AF3" s="249"/>
      <c r="AG3" s="249"/>
    </row>
    <row r="4" spans="1:33" ht="30" x14ac:dyDescent="0.25">
      <c r="A4" s="102" t="s">
        <v>291</v>
      </c>
      <c r="B4" s="102" t="s">
        <v>484</v>
      </c>
      <c r="C4" s="102">
        <v>3295</v>
      </c>
      <c r="D4" s="102" t="s">
        <v>678</v>
      </c>
      <c r="E4" s="102" t="s">
        <v>664</v>
      </c>
      <c r="F4" s="102">
        <f>IF(C4&gt;=5000,1,0)</f>
        <v>0</v>
      </c>
      <c r="G4" s="191" t="s">
        <v>708</v>
      </c>
      <c r="H4" s="102" t="s">
        <v>671</v>
      </c>
      <c r="I4" s="102">
        <v>0</v>
      </c>
      <c r="J4" s="102">
        <v>0</v>
      </c>
      <c r="K4" s="102">
        <v>0</v>
      </c>
      <c r="L4" s="102">
        <v>1</v>
      </c>
      <c r="M4" s="102">
        <v>1</v>
      </c>
      <c r="N4" s="102">
        <v>1</v>
      </c>
      <c r="O4" s="102">
        <v>1</v>
      </c>
      <c r="P4" s="102">
        <v>1185</v>
      </c>
      <c r="Q4" s="190">
        <v>5.003186743148504</v>
      </c>
      <c r="R4" s="102" t="s">
        <v>705</v>
      </c>
      <c r="S4" s="102">
        <v>0</v>
      </c>
      <c r="T4" s="102">
        <v>0</v>
      </c>
      <c r="U4" s="102">
        <v>0.89</v>
      </c>
      <c r="V4" s="102">
        <v>0</v>
      </c>
      <c r="W4" s="102">
        <v>1</v>
      </c>
      <c r="X4" s="102">
        <v>208</v>
      </c>
      <c r="Y4" s="102">
        <v>7.6</v>
      </c>
      <c r="Z4" s="102">
        <v>1</v>
      </c>
      <c r="AA4" s="102">
        <v>1</v>
      </c>
      <c r="AB4" s="102">
        <v>1</v>
      </c>
      <c r="AC4" s="102">
        <v>29449</v>
      </c>
      <c r="AD4" s="190">
        <v>0.38289725590299939</v>
      </c>
      <c r="AE4" s="102">
        <v>3</v>
      </c>
      <c r="AF4" s="190">
        <v>1.8636668118988474E-2</v>
      </c>
      <c r="AG4" s="190">
        <v>1.9230769230769229</v>
      </c>
    </row>
    <row r="5" spans="1:33" x14ac:dyDescent="0.25">
      <c r="A5" s="102" t="s">
        <v>290</v>
      </c>
      <c r="B5" s="102" t="s">
        <v>485</v>
      </c>
      <c r="C5" s="102">
        <v>467</v>
      </c>
      <c r="D5" s="102" t="s">
        <v>678</v>
      </c>
      <c r="E5" s="102" t="s">
        <v>665</v>
      </c>
      <c r="F5" s="102">
        <f t="shared" ref="F5:F68" si="0">IF(C5&gt;=5000,1,0)</f>
        <v>0</v>
      </c>
      <c r="G5" s="191" t="s">
        <v>711</v>
      </c>
      <c r="H5" s="102" t="s">
        <v>672</v>
      </c>
      <c r="I5" s="102">
        <v>0</v>
      </c>
      <c r="J5" s="102">
        <v>0</v>
      </c>
      <c r="K5" s="102">
        <v>1</v>
      </c>
      <c r="L5" s="102">
        <v>0</v>
      </c>
      <c r="M5" s="102">
        <v>0</v>
      </c>
      <c r="N5" s="102">
        <v>0</v>
      </c>
      <c r="O5" s="102">
        <v>1</v>
      </c>
      <c r="P5" s="102">
        <v>0</v>
      </c>
      <c r="Q5" s="190">
        <v>-3.7113402061855538</v>
      </c>
      <c r="R5" s="102" t="s">
        <v>706</v>
      </c>
      <c r="S5" s="102">
        <v>0</v>
      </c>
      <c r="T5" s="102">
        <v>0</v>
      </c>
      <c r="U5" s="102">
        <v>0.55000000000000004</v>
      </c>
      <c r="V5" s="102">
        <v>1</v>
      </c>
      <c r="W5" s="102">
        <v>0</v>
      </c>
      <c r="X5" s="102">
        <v>26</v>
      </c>
      <c r="Y5" s="102">
        <v>-0.8</v>
      </c>
      <c r="Z5" s="102">
        <v>0</v>
      </c>
      <c r="AA5" s="102">
        <v>1</v>
      </c>
      <c r="AB5" s="102">
        <v>0</v>
      </c>
      <c r="AC5" s="102">
        <v>8541</v>
      </c>
      <c r="AD5" s="190">
        <v>2.3809523809523809</v>
      </c>
      <c r="AE5" s="102">
        <v>1</v>
      </c>
      <c r="AF5" s="190">
        <v>0.52463049150692798</v>
      </c>
      <c r="AG5" s="190">
        <v>20</v>
      </c>
    </row>
    <row r="6" spans="1:33" x14ac:dyDescent="0.25">
      <c r="A6" s="102" t="s">
        <v>289</v>
      </c>
      <c r="B6" s="102" t="s">
        <v>486</v>
      </c>
      <c r="C6" s="102">
        <v>2439</v>
      </c>
      <c r="D6" s="102" t="s">
        <v>678</v>
      </c>
      <c r="E6" s="102" t="s">
        <v>666</v>
      </c>
      <c r="F6" s="102">
        <f t="shared" si="0"/>
        <v>0</v>
      </c>
      <c r="G6" s="191" t="s">
        <v>709</v>
      </c>
      <c r="H6" s="102" t="s">
        <v>673</v>
      </c>
      <c r="I6" s="102">
        <v>0</v>
      </c>
      <c r="J6" s="102">
        <v>0</v>
      </c>
      <c r="K6" s="102">
        <v>0</v>
      </c>
      <c r="L6" s="102">
        <v>1</v>
      </c>
      <c r="M6" s="102">
        <v>1</v>
      </c>
      <c r="N6" s="102">
        <v>0</v>
      </c>
      <c r="O6" s="102">
        <v>0</v>
      </c>
      <c r="P6" s="102">
        <v>203</v>
      </c>
      <c r="Q6" s="190">
        <v>9.6179775280898809</v>
      </c>
      <c r="R6" s="102" t="s">
        <v>705</v>
      </c>
      <c r="S6" s="102">
        <v>0</v>
      </c>
      <c r="T6" s="102">
        <v>1</v>
      </c>
      <c r="U6" s="102">
        <v>0.69</v>
      </c>
      <c r="V6" s="102">
        <v>0</v>
      </c>
      <c r="W6" s="102">
        <v>1</v>
      </c>
      <c r="X6" s="102">
        <v>179</v>
      </c>
      <c r="Y6" s="102">
        <v>2.09</v>
      </c>
      <c r="Z6" s="102">
        <v>1</v>
      </c>
      <c r="AA6" s="102">
        <v>1</v>
      </c>
      <c r="AB6" s="102">
        <v>0</v>
      </c>
      <c r="AC6" s="102">
        <v>7636</v>
      </c>
      <c r="AD6" s="190">
        <v>0.55555555555555558</v>
      </c>
      <c r="AE6" s="102">
        <v>3</v>
      </c>
      <c r="AF6" s="190">
        <v>0</v>
      </c>
      <c r="AG6" s="190">
        <v>4.545454545454545</v>
      </c>
    </row>
    <row r="7" spans="1:33" x14ac:dyDescent="0.25">
      <c r="A7" s="102" t="s">
        <v>288</v>
      </c>
      <c r="B7" s="102" t="s">
        <v>487</v>
      </c>
      <c r="C7" s="102">
        <v>969</v>
      </c>
      <c r="D7" s="102" t="s">
        <v>678</v>
      </c>
      <c r="E7" s="102" t="s">
        <v>667</v>
      </c>
      <c r="F7" s="102">
        <f t="shared" si="0"/>
        <v>0</v>
      </c>
      <c r="G7" s="191" t="s">
        <v>711</v>
      </c>
      <c r="H7" s="102" t="s">
        <v>672</v>
      </c>
      <c r="I7" s="102">
        <v>0</v>
      </c>
      <c r="J7" s="102">
        <v>0</v>
      </c>
      <c r="K7" s="102">
        <v>1</v>
      </c>
      <c r="L7" s="102">
        <v>0</v>
      </c>
      <c r="M7" s="102">
        <v>0</v>
      </c>
      <c r="N7" s="102">
        <v>0</v>
      </c>
      <c r="O7" s="102">
        <v>0</v>
      </c>
      <c r="P7" s="102">
        <v>0</v>
      </c>
      <c r="Q7" s="190">
        <v>3.4151547491995871</v>
      </c>
      <c r="R7" s="102" t="s">
        <v>705</v>
      </c>
      <c r="S7" s="102">
        <v>0</v>
      </c>
      <c r="T7" s="102">
        <v>0</v>
      </c>
      <c r="U7" s="102">
        <v>0.66</v>
      </c>
      <c r="V7" s="102">
        <v>0</v>
      </c>
      <c r="W7" s="102">
        <v>0</v>
      </c>
      <c r="X7" s="102">
        <v>65</v>
      </c>
      <c r="Y7" s="102">
        <v>0.34</v>
      </c>
      <c r="Z7" s="102">
        <v>0</v>
      </c>
      <c r="AA7" s="102">
        <v>1</v>
      </c>
      <c r="AB7" s="102">
        <v>0</v>
      </c>
      <c r="AC7" s="102">
        <v>3582</v>
      </c>
      <c r="AD7" s="190">
        <v>0.24509803921568626</v>
      </c>
      <c r="AE7" s="102">
        <v>4</v>
      </c>
      <c r="AF7" s="190">
        <v>0</v>
      </c>
      <c r="AG7" s="190">
        <v>80</v>
      </c>
    </row>
    <row r="8" spans="1:33" x14ac:dyDescent="0.25">
      <c r="A8" s="102" t="s">
        <v>287</v>
      </c>
      <c r="B8" s="102" t="s">
        <v>488</v>
      </c>
      <c r="C8" s="102">
        <v>250</v>
      </c>
      <c r="D8" s="102" t="s">
        <v>678</v>
      </c>
      <c r="E8" s="102" t="s">
        <v>668</v>
      </c>
      <c r="F8" s="102">
        <f t="shared" si="0"/>
        <v>0</v>
      </c>
      <c r="G8" s="191" t="s">
        <v>711</v>
      </c>
      <c r="H8" s="102" t="s">
        <v>672</v>
      </c>
      <c r="I8" s="102">
        <v>1</v>
      </c>
      <c r="J8" s="102">
        <v>0</v>
      </c>
      <c r="K8" s="102">
        <v>1</v>
      </c>
      <c r="L8" s="102">
        <v>1</v>
      </c>
      <c r="M8" s="102">
        <v>1</v>
      </c>
      <c r="N8" s="102">
        <v>0</v>
      </c>
      <c r="O8" s="102">
        <v>1</v>
      </c>
      <c r="P8" s="102">
        <v>0</v>
      </c>
      <c r="Q8" s="190">
        <v>-1.9607843137254832</v>
      </c>
      <c r="R8" s="102" t="s">
        <v>707</v>
      </c>
      <c r="S8" s="102">
        <v>0</v>
      </c>
      <c r="T8" s="102">
        <v>0</v>
      </c>
      <c r="U8" s="102">
        <v>0.65</v>
      </c>
      <c r="V8" s="102">
        <v>1</v>
      </c>
      <c r="W8" s="102">
        <v>0</v>
      </c>
      <c r="X8" s="102">
        <v>18</v>
      </c>
      <c r="Y8" s="102">
        <v>0.23</v>
      </c>
      <c r="Z8" s="102">
        <v>0</v>
      </c>
      <c r="AA8" s="102">
        <v>1</v>
      </c>
      <c r="AB8" s="102">
        <v>0</v>
      </c>
      <c r="AC8" s="102">
        <v>8916</v>
      </c>
      <c r="AD8" s="190">
        <v>3.2520325203252032</v>
      </c>
      <c r="AE8" s="102">
        <v>1</v>
      </c>
      <c r="AF8" s="190">
        <v>0</v>
      </c>
      <c r="AG8" s="190">
        <v>14.285714285714285</v>
      </c>
    </row>
    <row r="9" spans="1:33" ht="30" x14ac:dyDescent="0.25">
      <c r="A9" s="102" t="s">
        <v>286</v>
      </c>
      <c r="B9" s="102" t="s">
        <v>489</v>
      </c>
      <c r="C9" s="102">
        <v>2033</v>
      </c>
      <c r="D9" s="102" t="s">
        <v>678</v>
      </c>
      <c r="E9" s="102" t="s">
        <v>669</v>
      </c>
      <c r="F9" s="102">
        <f t="shared" si="0"/>
        <v>0</v>
      </c>
      <c r="G9" s="191" t="s">
        <v>708</v>
      </c>
      <c r="H9" s="102" t="s">
        <v>671</v>
      </c>
      <c r="I9" s="102">
        <v>0</v>
      </c>
      <c r="J9" s="102">
        <v>0</v>
      </c>
      <c r="K9" s="102">
        <v>0</v>
      </c>
      <c r="L9" s="102">
        <v>1</v>
      </c>
      <c r="M9" s="102">
        <v>1</v>
      </c>
      <c r="N9" s="102">
        <v>1</v>
      </c>
      <c r="O9" s="102">
        <v>1</v>
      </c>
      <c r="P9" s="102">
        <v>0</v>
      </c>
      <c r="Q9" s="190">
        <v>4.9561177077955563</v>
      </c>
      <c r="R9" s="102" t="s">
        <v>705</v>
      </c>
      <c r="S9" s="102">
        <v>0</v>
      </c>
      <c r="T9" s="102">
        <v>1</v>
      </c>
      <c r="U9" s="102">
        <v>0.71</v>
      </c>
      <c r="V9" s="102">
        <v>0</v>
      </c>
      <c r="W9" s="102">
        <v>1</v>
      </c>
      <c r="X9" s="102">
        <v>127</v>
      </c>
      <c r="Y9" s="102">
        <v>0.63</v>
      </c>
      <c r="Z9" s="102">
        <v>0</v>
      </c>
      <c r="AA9" s="102">
        <v>1</v>
      </c>
      <c r="AB9" s="102">
        <v>0</v>
      </c>
      <c r="AC9" s="102">
        <v>8990</v>
      </c>
      <c r="AD9" s="190">
        <v>1.7204301075268815</v>
      </c>
      <c r="AE9" s="102">
        <v>1</v>
      </c>
      <c r="AF9" s="190">
        <v>0.27162912704336883</v>
      </c>
      <c r="AG9" s="190">
        <v>1.8181818181818181</v>
      </c>
    </row>
    <row r="10" spans="1:33" x14ac:dyDescent="0.25">
      <c r="A10" s="102" t="s">
        <v>285</v>
      </c>
      <c r="B10" s="102" t="s">
        <v>490</v>
      </c>
      <c r="C10" s="102">
        <v>1147</v>
      </c>
      <c r="D10" s="102" t="s">
        <v>678</v>
      </c>
      <c r="E10" s="102" t="s">
        <v>667</v>
      </c>
      <c r="F10" s="102">
        <f t="shared" si="0"/>
        <v>0</v>
      </c>
      <c r="G10" s="191" t="s">
        <v>711</v>
      </c>
      <c r="H10" s="102" t="s">
        <v>672</v>
      </c>
      <c r="I10" s="102">
        <v>0</v>
      </c>
      <c r="J10" s="102">
        <v>0</v>
      </c>
      <c r="K10" s="102">
        <v>1</v>
      </c>
      <c r="L10" s="102">
        <v>0</v>
      </c>
      <c r="M10" s="102">
        <v>0</v>
      </c>
      <c r="N10" s="102">
        <v>0</v>
      </c>
      <c r="O10" s="102">
        <v>1</v>
      </c>
      <c r="P10" s="102">
        <v>0</v>
      </c>
      <c r="Q10" s="190">
        <v>2.4107142857142918</v>
      </c>
      <c r="R10" s="102" t="s">
        <v>705</v>
      </c>
      <c r="S10" s="102">
        <v>0</v>
      </c>
      <c r="T10" s="102">
        <v>0</v>
      </c>
      <c r="U10" s="102">
        <v>0.67</v>
      </c>
      <c r="V10" s="102">
        <v>0</v>
      </c>
      <c r="W10" s="102">
        <v>0</v>
      </c>
      <c r="X10" s="102">
        <v>63</v>
      </c>
      <c r="Y10" s="102">
        <v>3.71</v>
      </c>
      <c r="Z10" s="102">
        <v>1</v>
      </c>
      <c r="AA10" s="102">
        <v>1</v>
      </c>
      <c r="AB10" s="102">
        <v>0</v>
      </c>
      <c r="AC10" s="102">
        <v>12744</v>
      </c>
      <c r="AD10" s="190">
        <v>1.0570824524312896</v>
      </c>
      <c r="AE10" s="102">
        <v>2</v>
      </c>
      <c r="AF10" s="190">
        <v>1.9413710333455785E-2</v>
      </c>
      <c r="AG10" s="190">
        <v>8.695652173913043</v>
      </c>
    </row>
    <row r="11" spans="1:33" x14ac:dyDescent="0.25">
      <c r="A11" s="102" t="s">
        <v>284</v>
      </c>
      <c r="B11" s="102" t="s">
        <v>491</v>
      </c>
      <c r="C11" s="102">
        <v>1330</v>
      </c>
      <c r="D11" s="102" t="s">
        <v>678</v>
      </c>
      <c r="E11" s="102" t="s">
        <v>665</v>
      </c>
      <c r="F11" s="102">
        <f t="shared" si="0"/>
        <v>0</v>
      </c>
      <c r="G11" s="191" t="s">
        <v>711</v>
      </c>
      <c r="H11" s="102" t="s">
        <v>672</v>
      </c>
      <c r="I11" s="102">
        <v>0</v>
      </c>
      <c r="J11" s="102">
        <v>0</v>
      </c>
      <c r="K11" s="102">
        <v>1</v>
      </c>
      <c r="L11" s="102">
        <v>1</v>
      </c>
      <c r="M11" s="102">
        <v>1</v>
      </c>
      <c r="N11" s="102">
        <v>0</v>
      </c>
      <c r="O11" s="102">
        <v>0</v>
      </c>
      <c r="P11" s="102">
        <v>0</v>
      </c>
      <c r="Q11" s="190">
        <v>3.582554517133957</v>
      </c>
      <c r="R11" s="102" t="s">
        <v>705</v>
      </c>
      <c r="S11" s="102">
        <v>0</v>
      </c>
      <c r="T11" s="102">
        <v>0</v>
      </c>
      <c r="U11" s="102">
        <v>0.66</v>
      </c>
      <c r="V11" s="102">
        <v>0</v>
      </c>
      <c r="W11" s="102">
        <v>0</v>
      </c>
      <c r="X11" s="102">
        <v>96</v>
      </c>
      <c r="Y11" s="102">
        <v>-0.22</v>
      </c>
      <c r="Z11" s="102">
        <v>0</v>
      </c>
      <c r="AA11" s="102">
        <v>1</v>
      </c>
      <c r="AB11" s="102">
        <v>0</v>
      </c>
      <c r="AC11" s="102">
        <v>6777</v>
      </c>
      <c r="AD11" s="190">
        <v>1.680672268907563</v>
      </c>
      <c r="AE11" s="102">
        <v>3</v>
      </c>
      <c r="AF11" s="190">
        <v>0.46193360574147102</v>
      </c>
      <c r="AG11" s="190">
        <v>17.647058823529409</v>
      </c>
    </row>
    <row r="12" spans="1:33" ht="30" x14ac:dyDescent="0.25">
      <c r="A12" s="102" t="s">
        <v>283</v>
      </c>
      <c r="B12" s="102" t="s">
        <v>492</v>
      </c>
      <c r="C12" s="102">
        <v>154</v>
      </c>
      <c r="D12" s="102" t="s">
        <v>678</v>
      </c>
      <c r="E12" s="102" t="s">
        <v>670</v>
      </c>
      <c r="F12" s="102">
        <f t="shared" si="0"/>
        <v>0</v>
      </c>
      <c r="G12" s="191" t="s">
        <v>710</v>
      </c>
      <c r="H12" s="102" t="s">
        <v>674</v>
      </c>
      <c r="I12" s="102">
        <v>0</v>
      </c>
      <c r="J12" s="102">
        <v>0</v>
      </c>
      <c r="K12" s="102">
        <v>1</v>
      </c>
      <c r="L12" s="102">
        <v>0</v>
      </c>
      <c r="M12" s="102">
        <v>0</v>
      </c>
      <c r="N12" s="102">
        <v>0</v>
      </c>
      <c r="O12" s="102">
        <v>0</v>
      </c>
      <c r="P12" s="102">
        <v>0</v>
      </c>
      <c r="Q12" s="190">
        <v>15.78947368421052</v>
      </c>
      <c r="R12" s="102" t="s">
        <v>705</v>
      </c>
      <c r="S12" s="102">
        <v>1</v>
      </c>
      <c r="T12" s="102">
        <v>0</v>
      </c>
      <c r="U12" s="102">
        <v>0.56999999999999995</v>
      </c>
      <c r="V12" s="102">
        <v>1</v>
      </c>
      <c r="W12" s="102">
        <v>0</v>
      </c>
      <c r="X12" s="102">
        <v>9</v>
      </c>
      <c r="Y12" s="102">
        <v>-0.48</v>
      </c>
      <c r="Z12" s="102">
        <v>0</v>
      </c>
      <c r="AA12" s="102">
        <v>1</v>
      </c>
      <c r="AB12" s="102">
        <v>0</v>
      </c>
      <c r="AC12" s="102">
        <v>4270</v>
      </c>
      <c r="AD12" s="190">
        <v>0</v>
      </c>
      <c r="AE12" s="102">
        <v>0</v>
      </c>
      <c r="AF12" s="190">
        <v>0.33867309374882265</v>
      </c>
      <c r="AG12" s="190">
        <v>0</v>
      </c>
    </row>
    <row r="13" spans="1:33" ht="30" x14ac:dyDescent="0.25">
      <c r="A13" s="102" t="s">
        <v>282</v>
      </c>
      <c r="B13" s="102" t="s">
        <v>493</v>
      </c>
      <c r="C13" s="102">
        <v>285</v>
      </c>
      <c r="D13" s="102" t="s">
        <v>678</v>
      </c>
      <c r="E13" s="102" t="s">
        <v>670</v>
      </c>
      <c r="F13" s="102">
        <f t="shared" si="0"/>
        <v>0</v>
      </c>
      <c r="G13" s="191" t="s">
        <v>710</v>
      </c>
      <c r="H13" s="102" t="s">
        <v>674</v>
      </c>
      <c r="I13" s="102">
        <v>0</v>
      </c>
      <c r="J13" s="102">
        <v>0</v>
      </c>
      <c r="K13" s="102">
        <v>1</v>
      </c>
      <c r="L13" s="102">
        <v>1</v>
      </c>
      <c r="M13" s="102">
        <v>1</v>
      </c>
      <c r="N13" s="102">
        <v>0</v>
      </c>
      <c r="O13" s="102">
        <v>0</v>
      </c>
      <c r="P13" s="102">
        <v>0</v>
      </c>
      <c r="Q13" s="190">
        <v>5.1660516605166009</v>
      </c>
      <c r="R13" s="102" t="s">
        <v>705</v>
      </c>
      <c r="S13" s="102">
        <v>1</v>
      </c>
      <c r="T13" s="102">
        <v>0</v>
      </c>
      <c r="U13" s="102">
        <v>0.66</v>
      </c>
      <c r="V13" s="102">
        <v>0</v>
      </c>
      <c r="W13" s="102">
        <v>0</v>
      </c>
      <c r="X13" s="102">
        <v>17</v>
      </c>
      <c r="Y13" s="102">
        <v>0.83</v>
      </c>
      <c r="Z13" s="102">
        <v>0</v>
      </c>
      <c r="AA13" s="102">
        <v>1</v>
      </c>
      <c r="AB13" s="102">
        <v>0</v>
      </c>
      <c r="AC13" s="102">
        <v>3578</v>
      </c>
      <c r="AD13" s="190">
        <v>0</v>
      </c>
      <c r="AE13" s="102">
        <v>1</v>
      </c>
      <c r="AF13" s="190">
        <v>0</v>
      </c>
      <c r="AG13" s="190">
        <v>14.285714285714285</v>
      </c>
    </row>
    <row r="14" spans="1:33" ht="30" x14ac:dyDescent="0.25">
      <c r="A14" s="102" t="s">
        <v>281</v>
      </c>
      <c r="B14" s="102" t="s">
        <v>494</v>
      </c>
      <c r="C14" s="102">
        <v>1692</v>
      </c>
      <c r="D14" s="102" t="s">
        <v>678</v>
      </c>
      <c r="E14" s="102" t="s">
        <v>670</v>
      </c>
      <c r="F14" s="102">
        <f t="shared" si="0"/>
        <v>0</v>
      </c>
      <c r="G14" s="191" t="s">
        <v>710</v>
      </c>
      <c r="H14" s="102" t="s">
        <v>674</v>
      </c>
      <c r="I14" s="102">
        <v>0</v>
      </c>
      <c r="J14" s="102">
        <v>0</v>
      </c>
      <c r="K14" s="102">
        <v>1</v>
      </c>
      <c r="L14" s="102">
        <v>0</v>
      </c>
      <c r="M14" s="102">
        <v>0</v>
      </c>
      <c r="N14" s="102">
        <v>0</v>
      </c>
      <c r="O14" s="102">
        <v>1</v>
      </c>
      <c r="P14" s="102">
        <v>2575</v>
      </c>
      <c r="Q14" s="190">
        <v>-3.7542662116040901</v>
      </c>
      <c r="R14" s="102" t="s">
        <v>706</v>
      </c>
      <c r="S14" s="102">
        <v>1</v>
      </c>
      <c r="T14" s="102">
        <v>0</v>
      </c>
      <c r="U14" s="102">
        <v>0.66</v>
      </c>
      <c r="V14" s="102">
        <v>0</v>
      </c>
      <c r="W14" s="102">
        <v>0</v>
      </c>
      <c r="X14" s="102">
        <v>110</v>
      </c>
      <c r="Y14" s="102">
        <v>0.27</v>
      </c>
      <c r="Z14" s="102">
        <v>0</v>
      </c>
      <c r="AA14" s="102">
        <v>1</v>
      </c>
      <c r="AB14" s="102">
        <v>0</v>
      </c>
      <c r="AC14" s="102">
        <v>8753</v>
      </c>
      <c r="AD14" s="190">
        <v>0.12437810945273634</v>
      </c>
      <c r="AE14" s="102">
        <v>9</v>
      </c>
      <c r="AF14" s="190">
        <v>3.7252568848726913E-3</v>
      </c>
      <c r="AG14" s="190">
        <v>20.454545454545453</v>
      </c>
    </row>
    <row r="15" spans="1:33" x14ac:dyDescent="0.25">
      <c r="A15" s="102" t="s">
        <v>280</v>
      </c>
      <c r="B15" s="102" t="s">
        <v>495</v>
      </c>
      <c r="C15" s="102">
        <v>790</v>
      </c>
      <c r="D15" s="102" t="s">
        <v>678</v>
      </c>
      <c r="E15" s="102" t="s">
        <v>665</v>
      </c>
      <c r="F15" s="102">
        <f t="shared" si="0"/>
        <v>0</v>
      </c>
      <c r="G15" s="191" t="s">
        <v>711</v>
      </c>
      <c r="H15" s="102" t="s">
        <v>672</v>
      </c>
      <c r="I15" s="102">
        <v>0</v>
      </c>
      <c r="J15" s="102">
        <v>0</v>
      </c>
      <c r="K15" s="102">
        <v>1</v>
      </c>
      <c r="L15" s="102">
        <v>1</v>
      </c>
      <c r="M15" s="102">
        <v>1</v>
      </c>
      <c r="N15" s="102">
        <v>0</v>
      </c>
      <c r="O15" s="102">
        <v>0</v>
      </c>
      <c r="P15" s="102">
        <v>0</v>
      </c>
      <c r="Q15" s="190">
        <v>5.0531914893617085</v>
      </c>
      <c r="R15" s="102" t="s">
        <v>705</v>
      </c>
      <c r="S15" s="102">
        <v>0</v>
      </c>
      <c r="T15" s="102">
        <v>0</v>
      </c>
      <c r="U15" s="102">
        <v>0.62</v>
      </c>
      <c r="V15" s="102">
        <v>1</v>
      </c>
      <c r="W15" s="102">
        <v>0</v>
      </c>
      <c r="X15" s="102">
        <v>57</v>
      </c>
      <c r="Y15" s="102">
        <v>-0.01</v>
      </c>
      <c r="Z15" s="102">
        <v>0</v>
      </c>
      <c r="AA15" s="102">
        <v>1</v>
      </c>
      <c r="AB15" s="102">
        <v>0</v>
      </c>
      <c r="AC15" s="102">
        <v>6728</v>
      </c>
      <c r="AD15" s="190">
        <v>1.5337423312883436</v>
      </c>
      <c r="AE15" s="102">
        <v>2</v>
      </c>
      <c r="AF15" s="190">
        <v>0.67214778980363254</v>
      </c>
      <c r="AG15" s="190">
        <v>20</v>
      </c>
    </row>
    <row r="16" spans="1:33" x14ac:dyDescent="0.25">
      <c r="A16" s="102" t="s">
        <v>279</v>
      </c>
      <c r="B16" s="102" t="s">
        <v>496</v>
      </c>
      <c r="C16" s="102">
        <v>2538</v>
      </c>
      <c r="D16" s="102" t="s">
        <v>680</v>
      </c>
      <c r="E16" s="102" t="s">
        <v>667</v>
      </c>
      <c r="F16" s="102">
        <f t="shared" si="0"/>
        <v>0</v>
      </c>
      <c r="G16" s="191" t="s">
        <v>711</v>
      </c>
      <c r="H16" s="102" t="s">
        <v>672</v>
      </c>
      <c r="I16" s="102">
        <v>0</v>
      </c>
      <c r="J16" s="102">
        <v>0</v>
      </c>
      <c r="K16" s="102">
        <v>1</v>
      </c>
      <c r="L16" s="102">
        <v>0</v>
      </c>
      <c r="M16" s="102">
        <v>0</v>
      </c>
      <c r="N16" s="102">
        <v>0</v>
      </c>
      <c r="O16" s="102">
        <v>0</v>
      </c>
      <c r="P16" s="102">
        <v>842</v>
      </c>
      <c r="Q16" s="190">
        <v>-3.5714285714285694</v>
      </c>
      <c r="R16" s="102" t="s">
        <v>706</v>
      </c>
      <c r="S16" s="102">
        <v>1</v>
      </c>
      <c r="T16" s="102">
        <v>0</v>
      </c>
      <c r="U16" s="102">
        <v>0.73</v>
      </c>
      <c r="V16" s="102">
        <v>0</v>
      </c>
      <c r="W16" s="102">
        <v>1</v>
      </c>
      <c r="X16" s="102">
        <v>142</v>
      </c>
      <c r="Y16" s="102">
        <v>1.88</v>
      </c>
      <c r="Z16" s="102">
        <v>0</v>
      </c>
      <c r="AA16" s="102">
        <v>0</v>
      </c>
      <c r="AB16" s="102">
        <v>0</v>
      </c>
      <c r="AC16" s="102">
        <v>49276</v>
      </c>
      <c r="AD16" s="190">
        <v>2.0128824476650564</v>
      </c>
      <c r="AE16" s="102">
        <v>5</v>
      </c>
      <c r="AF16" s="190">
        <v>5.4957735357172757E-2</v>
      </c>
      <c r="AG16" s="190">
        <v>9.2592592592592595</v>
      </c>
    </row>
    <row r="17" spans="1:33" ht="30" x14ac:dyDescent="0.25">
      <c r="A17" s="102" t="s">
        <v>278</v>
      </c>
      <c r="B17" s="102" t="s">
        <v>497</v>
      </c>
      <c r="C17" s="102">
        <v>1278</v>
      </c>
      <c r="D17" s="102" t="s">
        <v>678</v>
      </c>
      <c r="E17" s="102" t="s">
        <v>669</v>
      </c>
      <c r="F17" s="102">
        <f t="shared" si="0"/>
        <v>0</v>
      </c>
      <c r="G17" s="191" t="s">
        <v>708</v>
      </c>
      <c r="H17" s="102" t="s">
        <v>671</v>
      </c>
      <c r="I17" s="102">
        <v>0</v>
      </c>
      <c r="J17" s="102">
        <v>0</v>
      </c>
      <c r="K17" s="102">
        <v>0</v>
      </c>
      <c r="L17" s="102">
        <v>0</v>
      </c>
      <c r="M17" s="102">
        <v>0</v>
      </c>
      <c r="N17" s="102">
        <v>0</v>
      </c>
      <c r="O17" s="102">
        <v>1</v>
      </c>
      <c r="P17" s="102">
        <v>0</v>
      </c>
      <c r="Q17" s="190">
        <v>-3.9819684447783601</v>
      </c>
      <c r="R17" s="102" t="s">
        <v>706</v>
      </c>
      <c r="S17" s="102">
        <v>0</v>
      </c>
      <c r="T17" s="102">
        <v>0</v>
      </c>
      <c r="U17" s="102">
        <v>0.68</v>
      </c>
      <c r="V17" s="102">
        <v>0</v>
      </c>
      <c r="W17" s="102">
        <v>0</v>
      </c>
      <c r="X17" s="102">
        <v>89</v>
      </c>
      <c r="Y17" s="102">
        <v>1.63</v>
      </c>
      <c r="Z17" s="102">
        <v>0</v>
      </c>
      <c r="AA17" s="102">
        <v>1</v>
      </c>
      <c r="AB17" s="102">
        <v>1</v>
      </c>
      <c r="AC17" s="102">
        <v>8483</v>
      </c>
      <c r="AD17" s="190">
        <v>0.94786729857819907</v>
      </c>
      <c r="AE17" s="102">
        <v>4</v>
      </c>
      <c r="AF17" s="190">
        <v>0.16254777985874974</v>
      </c>
      <c r="AG17" s="190">
        <v>18.181818181818183</v>
      </c>
    </row>
    <row r="18" spans="1:33" x14ac:dyDescent="0.25">
      <c r="A18" s="102" t="s">
        <v>277</v>
      </c>
      <c r="B18" s="102" t="s">
        <v>498</v>
      </c>
      <c r="C18" s="102">
        <v>502</v>
      </c>
      <c r="D18" s="102" t="s">
        <v>678</v>
      </c>
      <c r="E18" s="102" t="s">
        <v>664</v>
      </c>
      <c r="F18" s="102">
        <f t="shared" si="0"/>
        <v>0</v>
      </c>
      <c r="G18" s="191" t="s">
        <v>711</v>
      </c>
      <c r="H18" s="102" t="s">
        <v>672</v>
      </c>
      <c r="I18" s="102">
        <v>0</v>
      </c>
      <c r="J18" s="102">
        <v>0</v>
      </c>
      <c r="K18" s="102">
        <v>0</v>
      </c>
      <c r="L18" s="102">
        <v>1</v>
      </c>
      <c r="M18" s="102">
        <v>1</v>
      </c>
      <c r="N18" s="102">
        <v>0</v>
      </c>
      <c r="O18" s="102">
        <v>0</v>
      </c>
      <c r="P18" s="102">
        <v>0</v>
      </c>
      <c r="Q18" s="190">
        <v>-4.0152963671128248</v>
      </c>
      <c r="R18" s="102" t="s">
        <v>706</v>
      </c>
      <c r="S18" s="102">
        <v>0</v>
      </c>
      <c r="T18" s="102">
        <v>0</v>
      </c>
      <c r="U18" s="102">
        <v>0.59</v>
      </c>
      <c r="V18" s="102">
        <v>1</v>
      </c>
      <c r="W18" s="102">
        <v>0</v>
      </c>
      <c r="X18" s="102">
        <v>34</v>
      </c>
      <c r="Y18" s="102">
        <v>2.95</v>
      </c>
      <c r="Z18" s="102">
        <v>1</v>
      </c>
      <c r="AA18" s="102">
        <v>0</v>
      </c>
      <c r="AB18" s="102">
        <v>0</v>
      </c>
      <c r="AC18" s="102">
        <v>10627</v>
      </c>
      <c r="AD18" s="190">
        <v>0.4065040650406504</v>
      </c>
      <c r="AE18" s="102">
        <v>1</v>
      </c>
      <c r="AF18" s="190">
        <v>0.15268461709065051</v>
      </c>
      <c r="AG18" s="190">
        <v>12.5</v>
      </c>
    </row>
    <row r="19" spans="1:33" x14ac:dyDescent="0.25">
      <c r="A19" s="102" t="s">
        <v>276</v>
      </c>
      <c r="B19" s="102" t="s">
        <v>499</v>
      </c>
      <c r="C19" s="102">
        <v>309</v>
      </c>
      <c r="D19" s="102" t="s">
        <v>678</v>
      </c>
      <c r="E19" s="102" t="s">
        <v>665</v>
      </c>
      <c r="F19" s="102">
        <f t="shared" si="0"/>
        <v>0</v>
      </c>
      <c r="G19" s="191" t="s">
        <v>711</v>
      </c>
      <c r="H19" s="102" t="s">
        <v>672</v>
      </c>
      <c r="I19" s="102">
        <v>0</v>
      </c>
      <c r="J19" s="102">
        <v>0</v>
      </c>
      <c r="K19" s="102">
        <v>1</v>
      </c>
      <c r="L19" s="102">
        <v>0</v>
      </c>
      <c r="M19" s="102">
        <v>0</v>
      </c>
      <c r="N19" s="102">
        <v>0</v>
      </c>
      <c r="O19" s="102">
        <v>1</v>
      </c>
      <c r="P19" s="102">
        <v>0</v>
      </c>
      <c r="Q19" s="190">
        <v>2.6578073089701064</v>
      </c>
      <c r="R19" s="102" t="s">
        <v>705</v>
      </c>
      <c r="S19" s="102">
        <v>0</v>
      </c>
      <c r="T19" s="102">
        <v>0</v>
      </c>
      <c r="U19" s="102">
        <v>0.65</v>
      </c>
      <c r="V19" s="102">
        <v>1</v>
      </c>
      <c r="W19" s="102">
        <v>0</v>
      </c>
      <c r="X19" s="102">
        <v>32</v>
      </c>
      <c r="Y19" s="102">
        <v>0.28999999999999998</v>
      </c>
      <c r="Z19" s="102">
        <v>0</v>
      </c>
      <c r="AA19" s="102">
        <v>1</v>
      </c>
      <c r="AB19" s="102">
        <v>0</v>
      </c>
      <c r="AC19" s="102">
        <v>9859</v>
      </c>
      <c r="AD19" s="190">
        <v>1.8181818181818183</v>
      </c>
      <c r="AE19" s="102">
        <v>1</v>
      </c>
      <c r="AF19" s="190">
        <v>0.21108216795434229</v>
      </c>
      <c r="AG19" s="190">
        <v>0.54054054054054046</v>
      </c>
    </row>
    <row r="20" spans="1:33" x14ac:dyDescent="0.25">
      <c r="A20" s="102" t="s">
        <v>275</v>
      </c>
      <c r="B20" s="102" t="s">
        <v>500</v>
      </c>
      <c r="C20" s="102">
        <v>622</v>
      </c>
      <c r="D20" s="102" t="s">
        <v>678</v>
      </c>
      <c r="E20" s="102" t="s">
        <v>665</v>
      </c>
      <c r="F20" s="102">
        <f t="shared" si="0"/>
        <v>0</v>
      </c>
      <c r="G20" s="191" t="s">
        <v>711</v>
      </c>
      <c r="H20" s="102" t="s">
        <v>672</v>
      </c>
      <c r="I20" s="102">
        <v>0</v>
      </c>
      <c r="J20" s="102">
        <v>0</v>
      </c>
      <c r="K20" s="102">
        <v>1</v>
      </c>
      <c r="L20" s="102">
        <v>0</v>
      </c>
      <c r="M20" s="102">
        <v>0</v>
      </c>
      <c r="N20" s="102">
        <v>0</v>
      </c>
      <c r="O20" s="102">
        <v>0</v>
      </c>
      <c r="P20" s="102">
        <v>0</v>
      </c>
      <c r="Q20" s="190">
        <v>2.1346469622331767</v>
      </c>
      <c r="R20" s="102" t="s">
        <v>705</v>
      </c>
      <c r="S20" s="102">
        <v>0</v>
      </c>
      <c r="T20" s="102">
        <v>0</v>
      </c>
      <c r="U20" s="102">
        <v>0.6</v>
      </c>
      <c r="V20" s="102">
        <v>1</v>
      </c>
      <c r="W20" s="102">
        <v>0</v>
      </c>
      <c r="X20" s="102">
        <v>29</v>
      </c>
      <c r="Y20" s="102">
        <v>0.17</v>
      </c>
      <c r="Z20" s="102">
        <v>0</v>
      </c>
      <c r="AA20" s="102">
        <v>1</v>
      </c>
      <c r="AB20" s="102">
        <v>0</v>
      </c>
      <c r="AC20" s="102">
        <v>13569</v>
      </c>
      <c r="AD20" s="190">
        <v>2.6415094339622645</v>
      </c>
      <c r="AE20" s="102">
        <v>5</v>
      </c>
      <c r="AF20" s="190">
        <v>0.14399770294487862</v>
      </c>
      <c r="AG20" s="190">
        <v>38.46153846153846</v>
      </c>
    </row>
    <row r="21" spans="1:33" ht="30" x14ac:dyDescent="0.25">
      <c r="A21" s="102" t="s">
        <v>274</v>
      </c>
      <c r="B21" s="102" t="s">
        <v>501</v>
      </c>
      <c r="C21" s="102">
        <v>2144</v>
      </c>
      <c r="D21" s="102" t="s">
        <v>678</v>
      </c>
      <c r="E21" s="102" t="s">
        <v>664</v>
      </c>
      <c r="F21" s="102">
        <f t="shared" si="0"/>
        <v>0</v>
      </c>
      <c r="G21" s="191" t="s">
        <v>710</v>
      </c>
      <c r="H21" s="102" t="s">
        <v>674</v>
      </c>
      <c r="I21" s="102">
        <v>0</v>
      </c>
      <c r="J21" s="102">
        <v>0</v>
      </c>
      <c r="K21" s="102">
        <v>0</v>
      </c>
      <c r="L21" s="102">
        <v>1</v>
      </c>
      <c r="M21" s="102">
        <v>1</v>
      </c>
      <c r="N21" s="102">
        <v>0</v>
      </c>
      <c r="O21" s="102">
        <v>0</v>
      </c>
      <c r="P21" s="102">
        <v>0</v>
      </c>
      <c r="Q21" s="190">
        <v>1.3232514177693702</v>
      </c>
      <c r="R21" s="102" t="s">
        <v>707</v>
      </c>
      <c r="S21" s="102">
        <v>1</v>
      </c>
      <c r="T21" s="102">
        <v>0</v>
      </c>
      <c r="U21" s="102">
        <v>0.71</v>
      </c>
      <c r="V21" s="102">
        <v>0</v>
      </c>
      <c r="W21" s="102">
        <v>1</v>
      </c>
      <c r="X21" s="102">
        <v>167</v>
      </c>
      <c r="Y21" s="102">
        <v>0.21</v>
      </c>
      <c r="Z21" s="102">
        <v>0</v>
      </c>
      <c r="AA21" s="102">
        <v>1</v>
      </c>
      <c r="AB21" s="102">
        <v>0</v>
      </c>
      <c r="AC21" s="102">
        <v>31872</v>
      </c>
      <c r="AD21" s="190">
        <v>1.0638297872340425</v>
      </c>
      <c r="AE21" s="102">
        <v>4</v>
      </c>
      <c r="AF21" s="190">
        <v>9.3805747288106034E-2</v>
      </c>
      <c r="AG21" s="190">
        <v>12.903225806451614</v>
      </c>
    </row>
    <row r="22" spans="1:33" ht="30" x14ac:dyDescent="0.25">
      <c r="A22" s="102" t="s">
        <v>273</v>
      </c>
      <c r="B22" s="102" t="s">
        <v>502</v>
      </c>
      <c r="C22" s="102">
        <v>1319</v>
      </c>
      <c r="D22" s="102" t="s">
        <v>678</v>
      </c>
      <c r="E22" s="102" t="s">
        <v>664</v>
      </c>
      <c r="F22" s="102">
        <f t="shared" si="0"/>
        <v>0</v>
      </c>
      <c r="G22" s="191" t="s">
        <v>708</v>
      </c>
      <c r="H22" s="102" t="s">
        <v>671</v>
      </c>
      <c r="I22" s="102">
        <v>0</v>
      </c>
      <c r="J22" s="102">
        <v>0</v>
      </c>
      <c r="K22" s="102">
        <v>0</v>
      </c>
      <c r="L22" s="102">
        <v>1</v>
      </c>
      <c r="M22" s="102">
        <v>1</v>
      </c>
      <c r="N22" s="102">
        <v>0</v>
      </c>
      <c r="O22" s="102">
        <v>1</v>
      </c>
      <c r="P22" s="102">
        <v>0</v>
      </c>
      <c r="Q22" s="190">
        <v>1.8532818532818567</v>
      </c>
      <c r="R22" s="102" t="s">
        <v>707</v>
      </c>
      <c r="S22" s="102">
        <v>0</v>
      </c>
      <c r="T22" s="102">
        <v>0</v>
      </c>
      <c r="U22" s="102">
        <v>0.83</v>
      </c>
      <c r="V22" s="102">
        <v>0</v>
      </c>
      <c r="W22" s="102">
        <v>0</v>
      </c>
      <c r="X22" s="102">
        <v>117</v>
      </c>
      <c r="Y22" s="102">
        <v>1.47</v>
      </c>
      <c r="Z22" s="102">
        <v>0</v>
      </c>
      <c r="AA22" s="102">
        <v>1</v>
      </c>
      <c r="AB22" s="102">
        <v>0</v>
      </c>
      <c r="AC22" s="102">
        <v>6327</v>
      </c>
      <c r="AD22" s="190">
        <v>0.14727540500736377</v>
      </c>
      <c r="AE22" s="102">
        <v>0</v>
      </c>
      <c r="AF22" s="190">
        <v>1.7115852150085573E-2</v>
      </c>
      <c r="AG22" s="190">
        <v>0</v>
      </c>
    </row>
    <row r="23" spans="1:33" x14ac:dyDescent="0.25">
      <c r="A23" s="102" t="s">
        <v>272</v>
      </c>
      <c r="B23" s="102" t="s">
        <v>503</v>
      </c>
      <c r="C23" s="102">
        <v>2122</v>
      </c>
      <c r="D23" s="102" t="s">
        <v>678</v>
      </c>
      <c r="E23" s="102" t="s">
        <v>665</v>
      </c>
      <c r="F23" s="102">
        <f t="shared" si="0"/>
        <v>0</v>
      </c>
      <c r="G23" s="191" t="s">
        <v>711</v>
      </c>
      <c r="H23" s="102" t="s">
        <v>672</v>
      </c>
      <c r="I23" s="102">
        <v>0</v>
      </c>
      <c r="J23" s="102">
        <v>0</v>
      </c>
      <c r="K23" s="102">
        <v>1</v>
      </c>
      <c r="L23" s="102">
        <v>0</v>
      </c>
      <c r="M23" s="102">
        <v>0</v>
      </c>
      <c r="N23" s="102">
        <v>0</v>
      </c>
      <c r="O23" s="102">
        <v>1</v>
      </c>
      <c r="P23" s="102">
        <v>632</v>
      </c>
      <c r="Q23" s="190">
        <v>2.0192307692307594</v>
      </c>
      <c r="R23" s="102" t="s">
        <v>705</v>
      </c>
      <c r="S23" s="102">
        <v>0</v>
      </c>
      <c r="T23" s="102">
        <v>0</v>
      </c>
      <c r="U23" s="102">
        <v>0.66</v>
      </c>
      <c r="V23" s="102">
        <v>0</v>
      </c>
      <c r="W23" s="102">
        <v>0</v>
      </c>
      <c r="X23" s="102">
        <v>152</v>
      </c>
      <c r="Y23" s="102">
        <v>1.07</v>
      </c>
      <c r="Z23" s="102">
        <v>0</v>
      </c>
      <c r="AA23" s="102">
        <v>1</v>
      </c>
      <c r="AB23" s="102">
        <v>0</v>
      </c>
      <c r="AC23" s="102">
        <v>12036</v>
      </c>
      <c r="AD23" s="190">
        <v>0.6972111553784861</v>
      </c>
      <c r="AE23" s="102">
        <v>7</v>
      </c>
      <c r="AF23" s="190">
        <v>1.1417247170934914</v>
      </c>
      <c r="AG23" s="190">
        <v>15.555555555555555</v>
      </c>
    </row>
    <row r="24" spans="1:33" ht="30" x14ac:dyDescent="0.25">
      <c r="A24" s="102" t="s">
        <v>271</v>
      </c>
      <c r="B24" s="102" t="s">
        <v>504</v>
      </c>
      <c r="C24" s="102">
        <v>51</v>
      </c>
      <c r="D24" s="102" t="s">
        <v>678</v>
      </c>
      <c r="E24" s="102" t="s">
        <v>665</v>
      </c>
      <c r="F24" s="102">
        <f t="shared" si="0"/>
        <v>0</v>
      </c>
      <c r="G24" s="191" t="s">
        <v>708</v>
      </c>
      <c r="H24" s="102" t="s">
        <v>671</v>
      </c>
      <c r="I24" s="102">
        <v>0</v>
      </c>
      <c r="J24" s="102">
        <v>0</v>
      </c>
      <c r="K24" s="102">
        <v>1</v>
      </c>
      <c r="L24" s="102">
        <v>0</v>
      </c>
      <c r="M24" s="102">
        <v>0</v>
      </c>
      <c r="N24" s="102">
        <v>0</v>
      </c>
      <c r="O24" s="102">
        <v>0</v>
      </c>
      <c r="P24" s="102">
        <v>0</v>
      </c>
      <c r="Q24" s="190">
        <v>-16.393442622950815</v>
      </c>
      <c r="R24" s="102" t="s">
        <v>706</v>
      </c>
      <c r="S24" s="102">
        <v>0</v>
      </c>
      <c r="T24" s="102">
        <v>0</v>
      </c>
      <c r="U24" s="102">
        <v>0.49</v>
      </c>
      <c r="V24" s="102">
        <v>1</v>
      </c>
      <c r="W24" s="102">
        <v>0</v>
      </c>
      <c r="X24" s="102">
        <v>2</v>
      </c>
      <c r="Y24" s="102">
        <v>0.14000000000000001</v>
      </c>
      <c r="Z24" s="102">
        <v>0</v>
      </c>
      <c r="AA24" s="102">
        <v>1</v>
      </c>
      <c r="AB24" s="102">
        <v>0</v>
      </c>
      <c r="AC24" s="102">
        <v>9859</v>
      </c>
      <c r="AD24" s="190">
        <v>0</v>
      </c>
      <c r="AE24" s="102">
        <v>0</v>
      </c>
      <c r="AF24" s="190">
        <v>0.55715669355542308</v>
      </c>
      <c r="AG24" s="190">
        <v>0</v>
      </c>
    </row>
    <row r="25" spans="1:33" x14ac:dyDescent="0.25">
      <c r="A25" s="102" t="s">
        <v>270</v>
      </c>
      <c r="B25" s="102" t="s">
        <v>505</v>
      </c>
      <c r="C25" s="102">
        <v>548</v>
      </c>
      <c r="D25" s="102" t="s">
        <v>678</v>
      </c>
      <c r="E25" s="102" t="s">
        <v>667</v>
      </c>
      <c r="F25" s="102">
        <f t="shared" si="0"/>
        <v>0</v>
      </c>
      <c r="G25" s="191" t="s">
        <v>711</v>
      </c>
      <c r="H25" s="102" t="s">
        <v>672</v>
      </c>
      <c r="I25" s="102">
        <v>0</v>
      </c>
      <c r="J25" s="102">
        <v>0</v>
      </c>
      <c r="K25" s="102">
        <v>1</v>
      </c>
      <c r="L25" s="102">
        <v>0</v>
      </c>
      <c r="M25" s="102">
        <v>0</v>
      </c>
      <c r="N25" s="102">
        <v>0</v>
      </c>
      <c r="O25" s="102">
        <v>0</v>
      </c>
      <c r="P25" s="102">
        <v>0</v>
      </c>
      <c r="Q25" s="190">
        <v>-3.6906854130052835</v>
      </c>
      <c r="R25" s="102" t="s">
        <v>706</v>
      </c>
      <c r="S25" s="102">
        <v>0</v>
      </c>
      <c r="T25" s="102">
        <v>0</v>
      </c>
      <c r="U25" s="102">
        <v>0.53</v>
      </c>
      <c r="V25" s="102">
        <v>1</v>
      </c>
      <c r="W25" s="102">
        <v>0</v>
      </c>
      <c r="X25" s="102">
        <v>30</v>
      </c>
      <c r="Y25" s="102">
        <v>0</v>
      </c>
      <c r="Z25" s="102">
        <v>0</v>
      </c>
      <c r="AA25" s="102">
        <v>1</v>
      </c>
      <c r="AB25" s="102">
        <v>0</v>
      </c>
      <c r="AC25" s="102">
        <v>9859</v>
      </c>
      <c r="AD25" s="190">
        <v>2.5751072961373391</v>
      </c>
      <c r="AE25" s="102">
        <v>4</v>
      </c>
      <c r="AF25" s="190">
        <v>0</v>
      </c>
      <c r="AG25" s="190">
        <v>22.222222222222221</v>
      </c>
    </row>
    <row r="26" spans="1:33" x14ac:dyDescent="0.25">
      <c r="A26" s="102" t="s">
        <v>269</v>
      </c>
      <c r="B26" s="102" t="s">
        <v>506</v>
      </c>
      <c r="C26" s="102">
        <v>248</v>
      </c>
      <c r="D26" s="102" t="s">
        <v>678</v>
      </c>
      <c r="E26" s="102" t="s">
        <v>666</v>
      </c>
      <c r="F26" s="102">
        <f t="shared" si="0"/>
        <v>0</v>
      </c>
      <c r="G26" s="191" t="s">
        <v>711</v>
      </c>
      <c r="H26" s="102" t="s">
        <v>672</v>
      </c>
      <c r="I26" s="102">
        <v>0</v>
      </c>
      <c r="J26" s="102">
        <v>0</v>
      </c>
      <c r="K26" s="102">
        <v>0</v>
      </c>
      <c r="L26" s="102">
        <v>0</v>
      </c>
      <c r="M26" s="102">
        <v>0</v>
      </c>
      <c r="N26" s="102">
        <v>0</v>
      </c>
      <c r="O26" s="102">
        <v>1</v>
      </c>
      <c r="P26" s="102">
        <v>0</v>
      </c>
      <c r="Q26" s="190">
        <v>18.660287081339717</v>
      </c>
      <c r="R26" s="102" t="s">
        <v>705</v>
      </c>
      <c r="S26" s="102">
        <v>1</v>
      </c>
      <c r="T26" s="102">
        <v>0</v>
      </c>
      <c r="U26" s="102">
        <v>0.45</v>
      </c>
      <c r="V26" s="102">
        <v>1</v>
      </c>
      <c r="W26" s="102">
        <v>0</v>
      </c>
      <c r="X26" s="102">
        <v>17</v>
      </c>
      <c r="Y26" s="102">
        <v>7.0000000000000007E-2</v>
      </c>
      <c r="Z26" s="102">
        <v>0</v>
      </c>
      <c r="AA26" s="102">
        <v>1</v>
      </c>
      <c r="AB26" s="102">
        <v>0</v>
      </c>
      <c r="AC26" s="102">
        <v>5302</v>
      </c>
      <c r="AD26" s="190">
        <v>0</v>
      </c>
      <c r="AE26" s="102">
        <v>0</v>
      </c>
      <c r="AF26" s="190">
        <v>0.40265766683269133</v>
      </c>
      <c r="AG26" s="190">
        <v>0</v>
      </c>
    </row>
    <row r="27" spans="1:33" x14ac:dyDescent="0.25">
      <c r="A27" s="102" t="s">
        <v>268</v>
      </c>
      <c r="B27" s="102" t="s">
        <v>507</v>
      </c>
      <c r="C27" s="102">
        <v>629</v>
      </c>
      <c r="D27" s="102" t="s">
        <v>678</v>
      </c>
      <c r="E27" s="102" t="s">
        <v>666</v>
      </c>
      <c r="F27" s="102">
        <f t="shared" si="0"/>
        <v>0</v>
      </c>
      <c r="G27" s="191" t="s">
        <v>711</v>
      </c>
      <c r="H27" s="102" t="s">
        <v>672</v>
      </c>
      <c r="I27" s="102">
        <v>0</v>
      </c>
      <c r="J27" s="102">
        <v>0</v>
      </c>
      <c r="K27" s="102">
        <v>0</v>
      </c>
      <c r="L27" s="102">
        <v>0</v>
      </c>
      <c r="M27" s="102">
        <v>0</v>
      </c>
      <c r="N27" s="102">
        <v>0</v>
      </c>
      <c r="O27" s="102">
        <v>0</v>
      </c>
      <c r="P27" s="102">
        <v>1004</v>
      </c>
      <c r="Q27" s="190">
        <v>6.25</v>
      </c>
      <c r="R27" s="102" t="s">
        <v>705</v>
      </c>
      <c r="S27" s="102">
        <v>0</v>
      </c>
      <c r="T27" s="102">
        <v>0</v>
      </c>
      <c r="U27" s="102">
        <v>0.55000000000000004</v>
      </c>
      <c r="V27" s="102">
        <v>1</v>
      </c>
      <c r="W27" s="102">
        <v>0</v>
      </c>
      <c r="X27" s="102">
        <v>46</v>
      </c>
      <c r="Y27" s="102">
        <v>-0.03</v>
      </c>
      <c r="Z27" s="102">
        <v>0</v>
      </c>
      <c r="AA27" s="102">
        <v>1</v>
      </c>
      <c r="AB27" s="102">
        <v>0</v>
      </c>
      <c r="AC27" s="102">
        <v>9859</v>
      </c>
      <c r="AD27" s="190">
        <v>1.3100436681222707</v>
      </c>
      <c r="AE27" s="102">
        <v>1</v>
      </c>
      <c r="AF27" s="190">
        <v>1.4856578493090624</v>
      </c>
      <c r="AG27" s="190">
        <v>4.5454545454545459</v>
      </c>
    </row>
    <row r="28" spans="1:33" x14ac:dyDescent="0.25">
      <c r="A28" s="102" t="s">
        <v>267</v>
      </c>
      <c r="B28" s="102" t="s">
        <v>508</v>
      </c>
      <c r="C28" s="102">
        <v>30</v>
      </c>
      <c r="D28" s="102" t="s">
        <v>678</v>
      </c>
      <c r="E28" s="102" t="s">
        <v>666</v>
      </c>
      <c r="F28" s="102">
        <f t="shared" si="0"/>
        <v>0</v>
      </c>
      <c r="G28" s="191" t="s">
        <v>711</v>
      </c>
      <c r="H28" s="102" t="s">
        <v>672</v>
      </c>
      <c r="I28" s="102">
        <v>0</v>
      </c>
      <c r="J28" s="102">
        <v>0</v>
      </c>
      <c r="K28" s="102">
        <v>0</v>
      </c>
      <c r="L28" s="102">
        <v>0</v>
      </c>
      <c r="M28" s="102">
        <v>0</v>
      </c>
      <c r="N28" s="102">
        <v>0</v>
      </c>
      <c r="O28" s="102">
        <v>1</v>
      </c>
      <c r="P28" s="102">
        <v>0</v>
      </c>
      <c r="Q28" s="190">
        <v>15.384615384615387</v>
      </c>
      <c r="R28" s="102" t="s">
        <v>705</v>
      </c>
      <c r="S28" s="102">
        <v>1</v>
      </c>
      <c r="T28" s="102">
        <v>0</v>
      </c>
      <c r="U28" s="102">
        <v>0.56000000000000005</v>
      </c>
      <c r="V28" s="102">
        <v>1</v>
      </c>
      <c r="W28" s="102">
        <v>0</v>
      </c>
      <c r="X28" s="102">
        <v>1</v>
      </c>
      <c r="Y28" s="102">
        <v>7.0000000000000007E-2</v>
      </c>
      <c r="Z28" s="102">
        <v>0</v>
      </c>
      <c r="AA28" s="102">
        <v>0</v>
      </c>
      <c r="AB28" s="102">
        <v>0</v>
      </c>
      <c r="AC28" s="102">
        <v>97488</v>
      </c>
      <c r="AD28" s="190">
        <v>0</v>
      </c>
      <c r="AE28" s="102">
        <v>0</v>
      </c>
      <c r="AF28" s="190">
        <v>0</v>
      </c>
      <c r="AG28" s="190">
        <v>0</v>
      </c>
    </row>
    <row r="29" spans="1:33" x14ac:dyDescent="0.25">
      <c r="A29" s="102" t="s">
        <v>266</v>
      </c>
      <c r="B29" s="102" t="s">
        <v>509</v>
      </c>
      <c r="C29" s="102">
        <v>488</v>
      </c>
      <c r="D29" s="102" t="s">
        <v>678</v>
      </c>
      <c r="E29" s="102" t="s">
        <v>668</v>
      </c>
      <c r="F29" s="102">
        <f t="shared" si="0"/>
        <v>0</v>
      </c>
      <c r="G29" s="191" t="s">
        <v>711</v>
      </c>
      <c r="H29" s="102" t="s">
        <v>672</v>
      </c>
      <c r="I29" s="102">
        <v>1</v>
      </c>
      <c r="J29" s="102">
        <v>0</v>
      </c>
      <c r="K29" s="102">
        <v>1</v>
      </c>
      <c r="L29" s="102">
        <v>0</v>
      </c>
      <c r="M29" s="102">
        <v>0</v>
      </c>
      <c r="N29" s="102">
        <v>0</v>
      </c>
      <c r="O29" s="102">
        <v>0</v>
      </c>
      <c r="P29" s="102">
        <v>0</v>
      </c>
      <c r="Q29" s="190">
        <v>4.2735042735042867</v>
      </c>
      <c r="R29" s="102" t="s">
        <v>705</v>
      </c>
      <c r="S29" s="102">
        <v>1</v>
      </c>
      <c r="T29" s="102">
        <v>0</v>
      </c>
      <c r="U29" s="102">
        <v>0.53</v>
      </c>
      <c r="V29" s="102">
        <v>1</v>
      </c>
      <c r="W29" s="102">
        <v>0</v>
      </c>
      <c r="X29" s="102">
        <v>40</v>
      </c>
      <c r="Y29" s="102">
        <v>0.35</v>
      </c>
      <c r="Z29" s="102">
        <v>0</v>
      </c>
      <c r="AA29" s="102">
        <v>1</v>
      </c>
      <c r="AB29" s="102">
        <v>0</v>
      </c>
      <c r="AC29" s="102">
        <v>33281</v>
      </c>
      <c r="AD29" s="190">
        <v>2.8</v>
      </c>
      <c r="AE29" s="102">
        <v>0</v>
      </c>
      <c r="AF29" s="190">
        <v>6.5066265171665402E-2</v>
      </c>
      <c r="AG29" s="190">
        <v>0</v>
      </c>
    </row>
    <row r="30" spans="1:33" x14ac:dyDescent="0.25">
      <c r="A30" s="102" t="s">
        <v>265</v>
      </c>
      <c r="B30" s="102" t="s">
        <v>510</v>
      </c>
      <c r="C30" s="102">
        <v>9958</v>
      </c>
      <c r="D30" s="102" t="s">
        <v>680</v>
      </c>
      <c r="E30" s="102" t="s">
        <v>665</v>
      </c>
      <c r="F30" s="102">
        <f t="shared" si="0"/>
        <v>1</v>
      </c>
      <c r="G30" s="191" t="s">
        <v>711</v>
      </c>
      <c r="H30" s="102" t="s">
        <v>672</v>
      </c>
      <c r="I30" s="102">
        <v>0</v>
      </c>
      <c r="J30" s="102">
        <v>1</v>
      </c>
      <c r="K30" s="102">
        <v>1</v>
      </c>
      <c r="L30" s="102">
        <v>0</v>
      </c>
      <c r="M30" s="102">
        <v>0</v>
      </c>
      <c r="N30" s="102">
        <v>0</v>
      </c>
      <c r="O30" s="102">
        <v>1</v>
      </c>
      <c r="P30" s="102">
        <v>2282</v>
      </c>
      <c r="Q30" s="190">
        <v>-4.3052085335383481</v>
      </c>
      <c r="R30" s="102" t="s">
        <v>706</v>
      </c>
      <c r="S30" s="102">
        <v>0</v>
      </c>
      <c r="T30" s="102">
        <v>1</v>
      </c>
      <c r="U30" s="102">
        <v>0.8</v>
      </c>
      <c r="V30" s="102">
        <v>0</v>
      </c>
      <c r="W30" s="102">
        <v>1</v>
      </c>
      <c r="X30" s="102">
        <v>589</v>
      </c>
      <c r="Y30" s="102">
        <v>7.0000000000000007E-2</v>
      </c>
      <c r="Z30" s="102">
        <v>0</v>
      </c>
      <c r="AA30" s="102">
        <v>1</v>
      </c>
      <c r="AB30" s="102">
        <v>0</v>
      </c>
      <c r="AC30" s="102">
        <v>29673</v>
      </c>
      <c r="AD30" s="190">
        <v>0.34270047978067164</v>
      </c>
      <c r="AE30" s="102">
        <v>18</v>
      </c>
      <c r="AF30" s="190">
        <v>9.1263599665867876E-2</v>
      </c>
      <c r="AG30" s="190">
        <v>6.101694915254237</v>
      </c>
    </row>
    <row r="31" spans="1:33" ht="30" x14ac:dyDescent="0.25">
      <c r="A31" s="102" t="s">
        <v>328</v>
      </c>
      <c r="B31" s="102" t="s">
        <v>511</v>
      </c>
      <c r="C31" s="102">
        <v>1592</v>
      </c>
      <c r="D31" s="102" t="s">
        <v>678</v>
      </c>
      <c r="E31" s="102" t="s">
        <v>669</v>
      </c>
      <c r="F31" s="102">
        <f t="shared" si="0"/>
        <v>0</v>
      </c>
      <c r="G31" s="191" t="s">
        <v>708</v>
      </c>
      <c r="H31" s="102" t="s">
        <v>671</v>
      </c>
      <c r="I31" s="102">
        <v>0</v>
      </c>
      <c r="J31" s="102">
        <v>0</v>
      </c>
      <c r="K31" s="102">
        <v>0</v>
      </c>
      <c r="L31" s="102">
        <v>0</v>
      </c>
      <c r="M31" s="102">
        <v>0</v>
      </c>
      <c r="N31" s="102">
        <v>0</v>
      </c>
      <c r="O31" s="102">
        <v>1</v>
      </c>
      <c r="P31" s="102">
        <v>0</v>
      </c>
      <c r="Q31" s="190">
        <v>2.1167415009621493</v>
      </c>
      <c r="R31" s="102" t="s">
        <v>705</v>
      </c>
      <c r="S31" s="102">
        <v>0</v>
      </c>
      <c r="T31" s="102">
        <v>0</v>
      </c>
      <c r="U31" s="102">
        <v>0.73</v>
      </c>
      <c r="V31" s="102">
        <v>0</v>
      </c>
      <c r="W31" s="102">
        <v>1</v>
      </c>
      <c r="X31" s="102">
        <v>102</v>
      </c>
      <c r="Y31" s="102">
        <v>0</v>
      </c>
      <c r="Z31" s="102">
        <v>0</v>
      </c>
      <c r="AA31" s="102">
        <v>1</v>
      </c>
      <c r="AB31" s="102">
        <v>0</v>
      </c>
      <c r="AC31" s="102">
        <v>13666</v>
      </c>
      <c r="AD31" s="190">
        <v>2.3513139695712306</v>
      </c>
      <c r="AE31" s="102">
        <v>7</v>
      </c>
      <c r="AF31" s="190">
        <v>8.6567417124562021E-2</v>
      </c>
      <c r="AG31" s="190">
        <v>17.948717948717949</v>
      </c>
    </row>
    <row r="32" spans="1:33" x14ac:dyDescent="0.25">
      <c r="A32" s="102" t="s">
        <v>329</v>
      </c>
      <c r="B32" s="102" t="s">
        <v>512</v>
      </c>
      <c r="C32" s="102">
        <v>320</v>
      </c>
      <c r="D32" s="102" t="s">
        <v>678</v>
      </c>
      <c r="E32" s="102" t="s">
        <v>667</v>
      </c>
      <c r="F32" s="102">
        <f t="shared" si="0"/>
        <v>0</v>
      </c>
      <c r="G32" s="191" t="s">
        <v>711</v>
      </c>
      <c r="H32" s="102" t="s">
        <v>672</v>
      </c>
      <c r="I32" s="102">
        <v>0</v>
      </c>
      <c r="J32" s="102">
        <v>0</v>
      </c>
      <c r="K32" s="102">
        <v>1</v>
      </c>
      <c r="L32" s="102">
        <v>0</v>
      </c>
      <c r="M32" s="102">
        <v>0</v>
      </c>
      <c r="N32" s="102">
        <v>0</v>
      </c>
      <c r="O32" s="102">
        <v>0</v>
      </c>
      <c r="P32" s="102">
        <v>0</v>
      </c>
      <c r="Q32" s="190">
        <v>-5.8823529411764639</v>
      </c>
      <c r="R32" s="102" t="s">
        <v>706</v>
      </c>
      <c r="S32" s="102">
        <v>1</v>
      </c>
      <c r="T32" s="102">
        <v>0</v>
      </c>
      <c r="U32" s="102">
        <v>0.51</v>
      </c>
      <c r="V32" s="102">
        <v>1</v>
      </c>
      <c r="W32" s="102">
        <v>0</v>
      </c>
      <c r="X32" s="102">
        <v>27</v>
      </c>
      <c r="Y32" s="102">
        <v>0</v>
      </c>
      <c r="Z32" s="102">
        <v>0</v>
      </c>
      <c r="AA32" s="102">
        <v>1</v>
      </c>
      <c r="AB32" s="102">
        <v>0</v>
      </c>
      <c r="AC32" s="102">
        <v>9859</v>
      </c>
      <c r="AD32" s="190">
        <v>0.54054054054054046</v>
      </c>
      <c r="AE32" s="102">
        <v>1</v>
      </c>
      <c r="AF32" s="190">
        <v>1.1670948765890274</v>
      </c>
      <c r="AG32" s="190">
        <v>11.111111111111111</v>
      </c>
    </row>
    <row r="33" spans="1:33" x14ac:dyDescent="0.25">
      <c r="A33" s="102" t="s">
        <v>330</v>
      </c>
      <c r="B33" s="102" t="s">
        <v>513</v>
      </c>
      <c r="C33" s="102">
        <v>744</v>
      </c>
      <c r="D33" s="102" t="s">
        <v>678</v>
      </c>
      <c r="E33" s="102" t="s">
        <v>665</v>
      </c>
      <c r="F33" s="102">
        <f t="shared" si="0"/>
        <v>0</v>
      </c>
      <c r="G33" s="191" t="s">
        <v>711</v>
      </c>
      <c r="H33" s="102" t="s">
        <v>672</v>
      </c>
      <c r="I33" s="102">
        <v>0</v>
      </c>
      <c r="J33" s="102">
        <v>0</v>
      </c>
      <c r="K33" s="102">
        <v>1</v>
      </c>
      <c r="L33" s="102">
        <v>0</v>
      </c>
      <c r="M33" s="102">
        <v>0</v>
      </c>
      <c r="N33" s="102">
        <v>0</v>
      </c>
      <c r="O33" s="102">
        <v>0</v>
      </c>
      <c r="P33" s="102">
        <v>0</v>
      </c>
      <c r="Q33" s="190">
        <v>7.6700434153400892</v>
      </c>
      <c r="R33" s="102" t="s">
        <v>705</v>
      </c>
      <c r="S33" s="102">
        <v>0</v>
      </c>
      <c r="T33" s="102">
        <v>0</v>
      </c>
      <c r="U33" s="102">
        <v>0.59</v>
      </c>
      <c r="V33" s="102">
        <v>1</v>
      </c>
      <c r="W33" s="102">
        <v>0</v>
      </c>
      <c r="X33" s="102">
        <v>41</v>
      </c>
      <c r="Y33" s="102">
        <v>7.0000000000000007E-2</v>
      </c>
      <c r="Z33" s="102">
        <v>0</v>
      </c>
      <c r="AA33" s="102">
        <v>1</v>
      </c>
      <c r="AB33" s="102">
        <v>0</v>
      </c>
      <c r="AC33" s="102">
        <v>5812</v>
      </c>
      <c r="AD33" s="190">
        <v>1.8939393939393938</v>
      </c>
      <c r="AE33" s="102">
        <v>0</v>
      </c>
      <c r="AF33" s="190">
        <v>0.79266866479374853</v>
      </c>
      <c r="AG33" s="190">
        <v>0</v>
      </c>
    </row>
    <row r="34" spans="1:33" ht="30" x14ac:dyDescent="0.25">
      <c r="A34" s="102" t="s">
        <v>331</v>
      </c>
      <c r="B34" s="102" t="s">
        <v>514</v>
      </c>
      <c r="C34" s="102">
        <v>1897</v>
      </c>
      <c r="D34" s="102" t="s">
        <v>678</v>
      </c>
      <c r="E34" s="102" t="s">
        <v>669</v>
      </c>
      <c r="F34" s="102">
        <f t="shared" si="0"/>
        <v>0</v>
      </c>
      <c r="G34" s="191" t="s">
        <v>708</v>
      </c>
      <c r="H34" s="102" t="s">
        <v>671</v>
      </c>
      <c r="I34" s="102">
        <v>0</v>
      </c>
      <c r="J34" s="102">
        <v>0</v>
      </c>
      <c r="K34" s="102">
        <v>0</v>
      </c>
      <c r="L34" s="102">
        <v>0</v>
      </c>
      <c r="M34" s="102">
        <v>0</v>
      </c>
      <c r="N34" s="102">
        <v>1</v>
      </c>
      <c r="O34" s="102">
        <v>1</v>
      </c>
      <c r="P34" s="102">
        <v>9317</v>
      </c>
      <c r="Q34" s="190">
        <v>2.0990312163616949</v>
      </c>
      <c r="R34" s="102" t="s">
        <v>705</v>
      </c>
      <c r="S34" s="102">
        <v>0</v>
      </c>
      <c r="T34" s="102">
        <v>1</v>
      </c>
      <c r="U34" s="102">
        <v>0.74</v>
      </c>
      <c r="V34" s="102">
        <v>0</v>
      </c>
      <c r="W34" s="102">
        <v>0</v>
      </c>
      <c r="X34" s="102">
        <v>117</v>
      </c>
      <c r="Y34" s="102">
        <v>7.42</v>
      </c>
      <c r="Z34" s="102">
        <v>1</v>
      </c>
      <c r="AA34" s="102">
        <v>1</v>
      </c>
      <c r="AB34" s="102">
        <v>0</v>
      </c>
      <c r="AC34" s="102">
        <v>91678</v>
      </c>
      <c r="AD34" s="190">
        <v>1.2629161882893225</v>
      </c>
      <c r="AE34" s="102">
        <v>6</v>
      </c>
      <c r="AF34" s="190">
        <v>0.17744023290190791</v>
      </c>
      <c r="AG34" s="190">
        <v>10</v>
      </c>
    </row>
    <row r="35" spans="1:33" ht="30" x14ac:dyDescent="0.25">
      <c r="A35" s="102" t="s">
        <v>332</v>
      </c>
      <c r="B35" s="102" t="s">
        <v>515</v>
      </c>
      <c r="C35" s="102">
        <v>250</v>
      </c>
      <c r="D35" s="102" t="s">
        <v>678</v>
      </c>
      <c r="E35" s="102" t="s">
        <v>669</v>
      </c>
      <c r="F35" s="102">
        <f t="shared" si="0"/>
        <v>0</v>
      </c>
      <c r="G35" s="191" t="s">
        <v>708</v>
      </c>
      <c r="H35" s="102" t="s">
        <v>671</v>
      </c>
      <c r="I35" s="102">
        <v>0</v>
      </c>
      <c r="J35" s="102">
        <v>0</v>
      </c>
      <c r="K35" s="102">
        <v>0</v>
      </c>
      <c r="L35" s="102">
        <v>0</v>
      </c>
      <c r="M35" s="102">
        <v>0</v>
      </c>
      <c r="N35" s="102">
        <v>0</v>
      </c>
      <c r="O35" s="102">
        <v>1</v>
      </c>
      <c r="P35" s="102">
        <v>0</v>
      </c>
      <c r="Q35" s="190">
        <v>-2.7237354085603016</v>
      </c>
      <c r="R35" s="102" t="s">
        <v>706</v>
      </c>
      <c r="S35" s="102">
        <v>0</v>
      </c>
      <c r="T35" s="102">
        <v>1</v>
      </c>
      <c r="U35" s="102">
        <v>0.73</v>
      </c>
      <c r="V35" s="102">
        <v>0</v>
      </c>
      <c r="W35" s="102">
        <v>0</v>
      </c>
      <c r="X35" s="102">
        <v>10</v>
      </c>
      <c r="Y35" s="102">
        <v>-0.66</v>
      </c>
      <c r="Z35" s="102">
        <v>0</v>
      </c>
      <c r="AA35" s="102">
        <v>1</v>
      </c>
      <c r="AB35" s="102">
        <v>0</v>
      </c>
      <c r="AC35" s="102">
        <v>9474</v>
      </c>
      <c r="AD35" s="190">
        <v>0</v>
      </c>
      <c r="AE35" s="102">
        <v>0</v>
      </c>
      <c r="AF35" s="190">
        <v>8.5404313506516005E-2</v>
      </c>
      <c r="AG35" s="190">
        <v>0</v>
      </c>
    </row>
    <row r="36" spans="1:33" ht="30" x14ac:dyDescent="0.25">
      <c r="A36" s="102" t="s">
        <v>333</v>
      </c>
      <c r="B36" s="102" t="s">
        <v>516</v>
      </c>
      <c r="C36" s="102">
        <v>2228</v>
      </c>
      <c r="D36" s="102" t="s">
        <v>678</v>
      </c>
      <c r="E36" s="102" t="s">
        <v>664</v>
      </c>
      <c r="F36" s="102">
        <f t="shared" si="0"/>
        <v>0</v>
      </c>
      <c r="G36" s="191" t="s">
        <v>708</v>
      </c>
      <c r="H36" s="102" t="s">
        <v>671</v>
      </c>
      <c r="I36" s="102">
        <v>0</v>
      </c>
      <c r="J36" s="102">
        <v>0</v>
      </c>
      <c r="K36" s="102">
        <v>0</v>
      </c>
      <c r="L36" s="102">
        <v>1</v>
      </c>
      <c r="M36" s="102">
        <v>1</v>
      </c>
      <c r="N36" s="102">
        <v>1</v>
      </c>
      <c r="O36" s="102">
        <v>1</v>
      </c>
      <c r="P36" s="102">
        <v>0</v>
      </c>
      <c r="Q36" s="190">
        <v>8.2604470359572559</v>
      </c>
      <c r="R36" s="102" t="s">
        <v>705</v>
      </c>
      <c r="S36" s="102">
        <v>0</v>
      </c>
      <c r="T36" s="102">
        <v>0</v>
      </c>
      <c r="U36" s="102">
        <v>0.84</v>
      </c>
      <c r="V36" s="102">
        <v>0</v>
      </c>
      <c r="W36" s="102">
        <v>1</v>
      </c>
      <c r="X36" s="102">
        <v>188</v>
      </c>
      <c r="Y36" s="102">
        <v>0.21</v>
      </c>
      <c r="Z36" s="102">
        <v>0</v>
      </c>
      <c r="AA36" s="102">
        <v>1</v>
      </c>
      <c r="AB36" s="102">
        <v>0</v>
      </c>
      <c r="AC36" s="102">
        <v>8571</v>
      </c>
      <c r="AD36" s="190">
        <v>0.27173913043478265</v>
      </c>
      <c r="AE36" s="102">
        <v>2</v>
      </c>
      <c r="AF36" s="190">
        <v>2.4825940364457358E-2</v>
      </c>
      <c r="AG36" s="190">
        <v>2.3529411764705883</v>
      </c>
    </row>
    <row r="37" spans="1:33" ht="30" x14ac:dyDescent="0.25">
      <c r="A37" s="102" t="s">
        <v>334</v>
      </c>
      <c r="B37" s="102" t="s">
        <v>517</v>
      </c>
      <c r="C37" s="102">
        <v>716</v>
      </c>
      <c r="D37" s="102" t="s">
        <v>678</v>
      </c>
      <c r="E37" s="102" t="s">
        <v>664</v>
      </c>
      <c r="F37" s="102">
        <f t="shared" si="0"/>
        <v>0</v>
      </c>
      <c r="G37" s="191" t="s">
        <v>708</v>
      </c>
      <c r="H37" s="102" t="s">
        <v>671</v>
      </c>
      <c r="I37" s="102">
        <v>0</v>
      </c>
      <c r="J37" s="102">
        <v>0</v>
      </c>
      <c r="K37" s="102">
        <v>0</v>
      </c>
      <c r="L37" s="102">
        <v>1</v>
      </c>
      <c r="M37" s="102">
        <v>1</v>
      </c>
      <c r="N37" s="102">
        <v>0</v>
      </c>
      <c r="O37" s="102">
        <v>1</v>
      </c>
      <c r="P37" s="102">
        <v>15</v>
      </c>
      <c r="Q37" s="190">
        <v>-0.69348127600554221</v>
      </c>
      <c r="R37" s="102" t="s">
        <v>707</v>
      </c>
      <c r="S37" s="102">
        <v>0</v>
      </c>
      <c r="T37" s="102">
        <v>0</v>
      </c>
      <c r="U37" s="102">
        <v>0.74</v>
      </c>
      <c r="V37" s="102">
        <v>0</v>
      </c>
      <c r="W37" s="102">
        <v>0</v>
      </c>
      <c r="X37" s="102">
        <v>51</v>
      </c>
      <c r="Y37" s="102">
        <v>0.28000000000000003</v>
      </c>
      <c r="Z37" s="102">
        <v>0</v>
      </c>
      <c r="AA37" s="102">
        <v>1</v>
      </c>
      <c r="AB37" s="102">
        <v>0</v>
      </c>
      <c r="AC37" s="102">
        <v>8549</v>
      </c>
      <c r="AD37" s="190">
        <v>0.51546391752577325</v>
      </c>
      <c r="AE37" s="102">
        <v>1</v>
      </c>
      <c r="AF37" s="190">
        <v>6.75339147178938E-2</v>
      </c>
      <c r="AG37" s="190">
        <v>5.2631578947368425</v>
      </c>
    </row>
    <row r="38" spans="1:33" ht="30" x14ac:dyDescent="0.25">
      <c r="A38" s="102" t="s">
        <v>335</v>
      </c>
      <c r="B38" s="102" t="s">
        <v>518</v>
      </c>
      <c r="C38" s="102">
        <v>1745</v>
      </c>
      <c r="D38" s="102" t="s">
        <v>678</v>
      </c>
      <c r="E38" s="102" t="s">
        <v>669</v>
      </c>
      <c r="F38" s="102">
        <f t="shared" si="0"/>
        <v>0</v>
      </c>
      <c r="G38" s="191" t="s">
        <v>708</v>
      </c>
      <c r="H38" s="102" t="s">
        <v>671</v>
      </c>
      <c r="I38" s="102">
        <v>0</v>
      </c>
      <c r="J38" s="102">
        <v>0</v>
      </c>
      <c r="K38" s="102">
        <v>0</v>
      </c>
      <c r="L38" s="102">
        <v>0</v>
      </c>
      <c r="M38" s="102">
        <v>0</v>
      </c>
      <c r="N38" s="102">
        <v>1</v>
      </c>
      <c r="O38" s="102">
        <v>1</v>
      </c>
      <c r="P38" s="102">
        <v>316</v>
      </c>
      <c r="Q38" s="190">
        <v>7.4507389162561708</v>
      </c>
      <c r="R38" s="102" t="s">
        <v>705</v>
      </c>
      <c r="S38" s="102">
        <v>0</v>
      </c>
      <c r="T38" s="102">
        <v>1</v>
      </c>
      <c r="U38" s="102">
        <v>0.7</v>
      </c>
      <c r="V38" s="102">
        <v>0</v>
      </c>
      <c r="W38" s="102">
        <v>1</v>
      </c>
      <c r="X38" s="102">
        <v>117</v>
      </c>
      <c r="Y38" s="102">
        <v>1.57</v>
      </c>
      <c r="Z38" s="102">
        <v>0</v>
      </c>
      <c r="AA38" s="102">
        <v>1</v>
      </c>
      <c r="AB38" s="102">
        <v>0</v>
      </c>
      <c r="AC38" s="102">
        <v>6991</v>
      </c>
      <c r="AD38" s="190">
        <v>0.667779632721202</v>
      </c>
      <c r="AE38" s="102">
        <v>5</v>
      </c>
      <c r="AF38" s="190">
        <v>0.122816359245152</v>
      </c>
      <c r="AG38" s="190">
        <v>12.195121951219512</v>
      </c>
    </row>
    <row r="39" spans="1:33" x14ac:dyDescent="0.25">
      <c r="A39" s="102" t="s">
        <v>336</v>
      </c>
      <c r="B39" s="102" t="s">
        <v>519</v>
      </c>
      <c r="C39" s="102">
        <v>179</v>
      </c>
      <c r="D39" s="102" t="s">
        <v>678</v>
      </c>
      <c r="E39" s="102" t="s">
        <v>666</v>
      </c>
      <c r="F39" s="102">
        <f t="shared" si="0"/>
        <v>0</v>
      </c>
      <c r="G39" s="191" t="s">
        <v>709</v>
      </c>
      <c r="H39" s="102" t="s">
        <v>673</v>
      </c>
      <c r="I39" s="102">
        <v>0</v>
      </c>
      <c r="J39" s="102">
        <v>0</v>
      </c>
      <c r="K39" s="102">
        <v>0</v>
      </c>
      <c r="L39" s="102">
        <v>0</v>
      </c>
      <c r="M39" s="102">
        <v>0</v>
      </c>
      <c r="N39" s="102">
        <v>0</v>
      </c>
      <c r="O39" s="102">
        <v>0</v>
      </c>
      <c r="P39" s="102">
        <v>0</v>
      </c>
      <c r="Q39" s="190">
        <v>5.9171597633136059</v>
      </c>
      <c r="R39" s="102" t="s">
        <v>705</v>
      </c>
      <c r="S39" s="102">
        <v>0</v>
      </c>
      <c r="T39" s="102">
        <v>0</v>
      </c>
      <c r="U39" s="102">
        <v>0.63</v>
      </c>
      <c r="V39" s="102">
        <v>1</v>
      </c>
      <c r="W39" s="102">
        <v>0</v>
      </c>
      <c r="X39" s="102">
        <v>4</v>
      </c>
      <c r="Y39" s="102">
        <v>-0.05</v>
      </c>
      <c r="Z39" s="102">
        <v>0</v>
      </c>
      <c r="AA39" s="102">
        <v>1</v>
      </c>
      <c r="AB39" s="102">
        <v>0</v>
      </c>
      <c r="AC39" s="102">
        <v>9859</v>
      </c>
      <c r="AD39" s="190">
        <v>0</v>
      </c>
      <c r="AE39" s="102">
        <v>0</v>
      </c>
      <c r="AF39" s="190">
        <v>0</v>
      </c>
      <c r="AG39" s="190">
        <v>0</v>
      </c>
    </row>
    <row r="40" spans="1:33" ht="30" x14ac:dyDescent="0.25">
      <c r="A40" s="102" t="s">
        <v>337</v>
      </c>
      <c r="B40" s="102" t="s">
        <v>520</v>
      </c>
      <c r="C40" s="102">
        <v>2129</v>
      </c>
      <c r="D40" s="102" t="s">
        <v>678</v>
      </c>
      <c r="E40" s="102" t="s">
        <v>670</v>
      </c>
      <c r="F40" s="102">
        <f t="shared" si="0"/>
        <v>0</v>
      </c>
      <c r="G40" s="191" t="s">
        <v>710</v>
      </c>
      <c r="H40" s="102" t="s">
        <v>674</v>
      </c>
      <c r="I40" s="102">
        <v>0</v>
      </c>
      <c r="J40" s="102">
        <v>0</v>
      </c>
      <c r="K40" s="102">
        <v>1</v>
      </c>
      <c r="L40" s="102">
        <v>1</v>
      </c>
      <c r="M40" s="102">
        <v>1</v>
      </c>
      <c r="N40" s="102">
        <v>0</v>
      </c>
      <c r="O40" s="102">
        <v>0</v>
      </c>
      <c r="P40" s="102">
        <v>0</v>
      </c>
      <c r="Q40" s="190">
        <v>8.6224489795918231</v>
      </c>
      <c r="R40" s="102" t="s">
        <v>705</v>
      </c>
      <c r="S40" s="102">
        <v>0</v>
      </c>
      <c r="T40" s="102">
        <v>0</v>
      </c>
      <c r="U40" s="102">
        <v>0.82</v>
      </c>
      <c r="V40" s="102">
        <v>0</v>
      </c>
      <c r="W40" s="102">
        <v>1</v>
      </c>
      <c r="X40" s="102">
        <v>165</v>
      </c>
      <c r="Y40" s="102">
        <v>0.78</v>
      </c>
      <c r="Z40" s="102">
        <v>0</v>
      </c>
      <c r="AA40" s="102">
        <v>1</v>
      </c>
      <c r="AB40" s="102">
        <v>0</v>
      </c>
      <c r="AC40" s="102">
        <v>9836</v>
      </c>
      <c r="AD40" s="190">
        <v>0.70210631895687059</v>
      </c>
      <c r="AE40" s="102">
        <v>1</v>
      </c>
      <c r="AF40" s="190">
        <v>3.4691770485828495E-3</v>
      </c>
      <c r="AG40" s="190">
        <v>1.1494252873563218</v>
      </c>
    </row>
    <row r="41" spans="1:33" x14ac:dyDescent="0.25">
      <c r="A41" s="102" t="s">
        <v>338</v>
      </c>
      <c r="B41" s="102" t="s">
        <v>521</v>
      </c>
      <c r="C41" s="102">
        <v>89</v>
      </c>
      <c r="D41" s="102" t="s">
        <v>678</v>
      </c>
      <c r="E41" s="102" t="s">
        <v>667</v>
      </c>
      <c r="F41" s="102">
        <f t="shared" si="0"/>
        <v>0</v>
      </c>
      <c r="G41" s="191" t="s">
        <v>711</v>
      </c>
      <c r="H41" s="102" t="s">
        <v>672</v>
      </c>
      <c r="I41" s="102">
        <v>0</v>
      </c>
      <c r="J41" s="102">
        <v>0</v>
      </c>
      <c r="K41" s="102">
        <v>1</v>
      </c>
      <c r="L41" s="102">
        <v>0</v>
      </c>
      <c r="M41" s="102">
        <v>0</v>
      </c>
      <c r="N41" s="102">
        <v>0</v>
      </c>
      <c r="O41" s="102">
        <v>1</v>
      </c>
      <c r="P41" s="102">
        <v>0</v>
      </c>
      <c r="Q41" s="190">
        <v>-27.642276422764226</v>
      </c>
      <c r="R41" s="102" t="s">
        <v>706</v>
      </c>
      <c r="S41" s="102">
        <v>1</v>
      </c>
      <c r="T41" s="102">
        <v>0</v>
      </c>
      <c r="U41" s="102">
        <v>0.62</v>
      </c>
      <c r="V41" s="102">
        <v>1</v>
      </c>
      <c r="W41" s="102">
        <v>0</v>
      </c>
      <c r="X41" s="102">
        <v>5</v>
      </c>
      <c r="Y41" s="102">
        <v>0</v>
      </c>
      <c r="Z41" s="102">
        <v>0</v>
      </c>
      <c r="AA41" s="102">
        <v>1</v>
      </c>
      <c r="AB41" s="102">
        <v>0</v>
      </c>
      <c r="AC41" s="102">
        <v>9859</v>
      </c>
      <c r="AD41" s="190">
        <v>2.3809523809523809</v>
      </c>
      <c r="AE41" s="102">
        <v>0</v>
      </c>
      <c r="AF41" s="190">
        <v>2.1422740534126543</v>
      </c>
      <c r="AG41" s="190">
        <v>0</v>
      </c>
    </row>
    <row r="42" spans="1:33" x14ac:dyDescent="0.25">
      <c r="A42" s="102" t="s">
        <v>339</v>
      </c>
      <c r="B42" s="102" t="s">
        <v>522</v>
      </c>
      <c r="C42" s="102">
        <v>508</v>
      </c>
      <c r="D42" s="102" t="s">
        <v>678</v>
      </c>
      <c r="E42" s="102" t="s">
        <v>665</v>
      </c>
      <c r="F42" s="102">
        <f t="shared" si="0"/>
        <v>0</v>
      </c>
      <c r="G42" s="191" t="s">
        <v>711</v>
      </c>
      <c r="H42" s="102" t="s">
        <v>672</v>
      </c>
      <c r="I42" s="102">
        <v>0</v>
      </c>
      <c r="J42" s="102">
        <v>0</v>
      </c>
      <c r="K42" s="102">
        <v>1</v>
      </c>
      <c r="L42" s="102">
        <v>0</v>
      </c>
      <c r="M42" s="102">
        <v>0</v>
      </c>
      <c r="N42" s="102">
        <v>0</v>
      </c>
      <c r="O42" s="102">
        <v>0</v>
      </c>
      <c r="P42" s="102">
        <v>0</v>
      </c>
      <c r="Q42" s="190">
        <v>-1.1673151750972721</v>
      </c>
      <c r="R42" s="102" t="s">
        <v>707</v>
      </c>
      <c r="S42" s="102">
        <v>0</v>
      </c>
      <c r="T42" s="102">
        <v>0</v>
      </c>
      <c r="U42" s="102">
        <v>0.68</v>
      </c>
      <c r="V42" s="102">
        <v>0</v>
      </c>
      <c r="W42" s="102">
        <v>0</v>
      </c>
      <c r="X42" s="102">
        <v>26</v>
      </c>
      <c r="Y42" s="102">
        <v>-0.53</v>
      </c>
      <c r="Z42" s="102">
        <v>0</v>
      </c>
      <c r="AA42" s="102">
        <v>0</v>
      </c>
      <c r="AB42" s="102">
        <v>0</v>
      </c>
      <c r="AC42" s="102">
        <v>11253</v>
      </c>
      <c r="AD42" s="190">
        <v>3.5242290748898677</v>
      </c>
      <c r="AE42" s="102">
        <v>1</v>
      </c>
      <c r="AF42" s="190">
        <v>7.0033919165939387E-2</v>
      </c>
      <c r="AG42" s="190">
        <v>10</v>
      </c>
    </row>
    <row r="43" spans="1:33" x14ac:dyDescent="0.25">
      <c r="A43" s="102" t="s">
        <v>340</v>
      </c>
      <c r="B43" s="102" t="s">
        <v>523</v>
      </c>
      <c r="C43" s="102">
        <v>876</v>
      </c>
      <c r="D43" s="102" t="s">
        <v>678</v>
      </c>
      <c r="E43" s="102" t="s">
        <v>666</v>
      </c>
      <c r="F43" s="102">
        <f t="shared" si="0"/>
        <v>0</v>
      </c>
      <c r="G43" s="191" t="s">
        <v>709</v>
      </c>
      <c r="H43" s="102" t="s">
        <v>673</v>
      </c>
      <c r="I43" s="102">
        <v>0</v>
      </c>
      <c r="J43" s="102">
        <v>0</v>
      </c>
      <c r="K43" s="102">
        <v>0</v>
      </c>
      <c r="L43" s="102">
        <v>0</v>
      </c>
      <c r="M43" s="102">
        <v>0</v>
      </c>
      <c r="N43" s="102">
        <v>0</v>
      </c>
      <c r="O43" s="102">
        <v>0</v>
      </c>
      <c r="P43" s="102">
        <v>0</v>
      </c>
      <c r="Q43" s="190">
        <v>-0.56753688989785189</v>
      </c>
      <c r="R43" s="102" t="s">
        <v>707</v>
      </c>
      <c r="S43" s="102">
        <v>1</v>
      </c>
      <c r="T43" s="102">
        <v>0</v>
      </c>
      <c r="U43" s="102">
        <v>0.57999999999999996</v>
      </c>
      <c r="V43" s="102">
        <v>1</v>
      </c>
      <c r="W43" s="102">
        <v>0</v>
      </c>
      <c r="X43" s="102">
        <v>55</v>
      </c>
      <c r="Y43" s="102">
        <v>4.1399999999999997</v>
      </c>
      <c r="Z43" s="102">
        <v>1</v>
      </c>
      <c r="AA43" s="102">
        <v>0</v>
      </c>
      <c r="AB43" s="102">
        <v>0</v>
      </c>
      <c r="AC43" s="102">
        <v>11028</v>
      </c>
      <c r="AD43" s="190">
        <v>2.005730659025788</v>
      </c>
      <c r="AE43" s="102">
        <v>1</v>
      </c>
      <c r="AF43" s="190">
        <v>3.7247387803491724E-2</v>
      </c>
      <c r="AG43" s="190">
        <v>7.6923076923076916</v>
      </c>
    </row>
    <row r="44" spans="1:33" x14ac:dyDescent="0.25">
      <c r="A44" s="102" t="s">
        <v>341</v>
      </c>
      <c r="B44" s="102" t="s">
        <v>524</v>
      </c>
      <c r="C44" s="102">
        <v>1784</v>
      </c>
      <c r="D44" s="102" t="s">
        <v>678</v>
      </c>
      <c r="E44" s="102" t="s">
        <v>664</v>
      </c>
      <c r="F44" s="102">
        <f t="shared" si="0"/>
        <v>0</v>
      </c>
      <c r="G44" s="191" t="s">
        <v>711</v>
      </c>
      <c r="H44" s="102" t="s">
        <v>672</v>
      </c>
      <c r="I44" s="102">
        <v>0</v>
      </c>
      <c r="J44" s="102">
        <v>0</v>
      </c>
      <c r="K44" s="102">
        <v>0</v>
      </c>
      <c r="L44" s="102">
        <v>1</v>
      </c>
      <c r="M44" s="102">
        <v>1</v>
      </c>
      <c r="N44" s="102">
        <v>0</v>
      </c>
      <c r="O44" s="102">
        <v>0</v>
      </c>
      <c r="P44" s="102">
        <v>0</v>
      </c>
      <c r="Q44" s="190">
        <v>2.001143510577478</v>
      </c>
      <c r="R44" s="102" t="s">
        <v>705</v>
      </c>
      <c r="S44" s="102">
        <v>0</v>
      </c>
      <c r="T44" s="102">
        <v>0</v>
      </c>
      <c r="U44" s="102">
        <v>0.77</v>
      </c>
      <c r="V44" s="102">
        <v>0</v>
      </c>
      <c r="W44" s="102">
        <v>1</v>
      </c>
      <c r="X44" s="102">
        <v>134</v>
      </c>
      <c r="Y44" s="102">
        <v>2.0499999999999998</v>
      </c>
      <c r="Z44" s="102">
        <v>1</v>
      </c>
      <c r="AA44" s="102">
        <v>1</v>
      </c>
      <c r="AB44" s="102">
        <v>0</v>
      </c>
      <c r="AC44" s="102">
        <v>34713</v>
      </c>
      <c r="AD44" s="190">
        <v>0.35252643948296125</v>
      </c>
      <c r="AE44" s="102">
        <v>1</v>
      </c>
      <c r="AF44" s="190">
        <v>0</v>
      </c>
      <c r="AG44" s="190">
        <v>2.6315789473684212</v>
      </c>
    </row>
    <row r="45" spans="1:33" x14ac:dyDescent="0.25">
      <c r="A45" s="102" t="s">
        <v>342</v>
      </c>
      <c r="B45" s="102" t="s">
        <v>525</v>
      </c>
      <c r="C45" s="102">
        <v>1918</v>
      </c>
      <c r="D45" s="102" t="s">
        <v>678</v>
      </c>
      <c r="E45" s="102" t="s">
        <v>665</v>
      </c>
      <c r="F45" s="102">
        <f t="shared" si="0"/>
        <v>0</v>
      </c>
      <c r="G45" s="191" t="s">
        <v>711</v>
      </c>
      <c r="H45" s="102" t="s">
        <v>672</v>
      </c>
      <c r="I45" s="102">
        <v>0</v>
      </c>
      <c r="J45" s="102">
        <v>0</v>
      </c>
      <c r="K45" s="102">
        <v>1</v>
      </c>
      <c r="L45" s="102">
        <v>0</v>
      </c>
      <c r="M45" s="102">
        <v>0</v>
      </c>
      <c r="N45" s="102">
        <v>0</v>
      </c>
      <c r="O45" s="102">
        <v>1</v>
      </c>
      <c r="P45" s="102">
        <v>3573</v>
      </c>
      <c r="Q45" s="190">
        <v>0.31380753138074624</v>
      </c>
      <c r="R45" s="102" t="s">
        <v>707</v>
      </c>
      <c r="S45" s="102">
        <v>0</v>
      </c>
      <c r="T45" s="102">
        <v>0</v>
      </c>
      <c r="U45" s="102">
        <v>0.71</v>
      </c>
      <c r="V45" s="102">
        <v>0</v>
      </c>
      <c r="W45" s="102">
        <v>1</v>
      </c>
      <c r="X45" s="102">
        <v>114</v>
      </c>
      <c r="Y45" s="102">
        <v>0</v>
      </c>
      <c r="Z45" s="102">
        <v>0</v>
      </c>
      <c r="AA45" s="102">
        <v>1</v>
      </c>
      <c r="AB45" s="102">
        <v>0</v>
      </c>
      <c r="AC45" s="102">
        <v>6236</v>
      </c>
      <c r="AD45" s="190">
        <v>1.9230769230769229</v>
      </c>
      <c r="AE45" s="102">
        <v>1</v>
      </c>
      <c r="AF45" s="190">
        <v>0.1934047174537801</v>
      </c>
      <c r="AG45" s="190">
        <v>3.3333333333333335</v>
      </c>
    </row>
    <row r="46" spans="1:33" x14ac:dyDescent="0.25">
      <c r="A46" s="102" t="s">
        <v>343</v>
      </c>
      <c r="B46" s="102" t="s">
        <v>526</v>
      </c>
      <c r="C46" s="102">
        <v>484</v>
      </c>
      <c r="D46" s="102" t="s">
        <v>678</v>
      </c>
      <c r="E46" s="102" t="s">
        <v>664</v>
      </c>
      <c r="F46" s="102">
        <f t="shared" si="0"/>
        <v>0</v>
      </c>
      <c r="G46" s="191" t="s">
        <v>711</v>
      </c>
      <c r="H46" s="102" t="s">
        <v>672</v>
      </c>
      <c r="I46" s="102">
        <v>0</v>
      </c>
      <c r="J46" s="102">
        <v>0</v>
      </c>
      <c r="K46" s="102">
        <v>0</v>
      </c>
      <c r="L46" s="102">
        <v>1</v>
      </c>
      <c r="M46" s="102">
        <v>1</v>
      </c>
      <c r="N46" s="102">
        <v>0</v>
      </c>
      <c r="O46" s="102">
        <v>0</v>
      </c>
      <c r="P46" s="102">
        <v>0</v>
      </c>
      <c r="Q46" s="190">
        <v>5.2173913043478279</v>
      </c>
      <c r="R46" s="102" t="s">
        <v>705</v>
      </c>
      <c r="S46" s="102">
        <v>0</v>
      </c>
      <c r="T46" s="102">
        <v>0</v>
      </c>
      <c r="U46" s="102">
        <v>0.61</v>
      </c>
      <c r="V46" s="102">
        <v>1</v>
      </c>
      <c r="W46" s="102">
        <v>0</v>
      </c>
      <c r="X46" s="102">
        <v>37</v>
      </c>
      <c r="Y46" s="102">
        <v>0.89</v>
      </c>
      <c r="Z46" s="102">
        <v>0</v>
      </c>
      <c r="AA46" s="102">
        <v>1</v>
      </c>
      <c r="AB46" s="102">
        <v>0</v>
      </c>
      <c r="AC46" s="102">
        <v>9859</v>
      </c>
      <c r="AD46" s="190">
        <v>0</v>
      </c>
      <c r="AE46" s="102">
        <v>0</v>
      </c>
      <c r="AF46" s="190">
        <v>0.89916325735100477</v>
      </c>
      <c r="AG46" s="190">
        <v>0</v>
      </c>
    </row>
    <row r="47" spans="1:33" ht="30" x14ac:dyDescent="0.25">
      <c r="A47" s="102" t="s">
        <v>344</v>
      </c>
      <c r="B47" s="102" t="s">
        <v>527</v>
      </c>
      <c r="C47" s="102">
        <v>608</v>
      </c>
      <c r="D47" s="102" t="s">
        <v>678</v>
      </c>
      <c r="E47" s="102" t="s">
        <v>669</v>
      </c>
      <c r="F47" s="102">
        <f t="shared" si="0"/>
        <v>0</v>
      </c>
      <c r="G47" s="191" t="s">
        <v>708</v>
      </c>
      <c r="H47" s="102" t="s">
        <v>671</v>
      </c>
      <c r="I47" s="102">
        <v>0</v>
      </c>
      <c r="J47" s="102">
        <v>0</v>
      </c>
      <c r="K47" s="102">
        <v>0</v>
      </c>
      <c r="L47" s="102">
        <v>0</v>
      </c>
      <c r="M47" s="102">
        <v>1</v>
      </c>
      <c r="N47" s="102">
        <v>0</v>
      </c>
      <c r="O47" s="102">
        <v>1</v>
      </c>
      <c r="P47" s="102">
        <v>148</v>
      </c>
      <c r="Q47" s="190">
        <v>9.5495495495495533</v>
      </c>
      <c r="R47" s="102" t="s">
        <v>705</v>
      </c>
      <c r="S47" s="102">
        <v>0</v>
      </c>
      <c r="T47" s="102">
        <v>0</v>
      </c>
      <c r="U47" s="102">
        <v>0.81</v>
      </c>
      <c r="V47" s="102">
        <v>0</v>
      </c>
      <c r="W47" s="102">
        <v>0</v>
      </c>
      <c r="X47" s="102">
        <v>33</v>
      </c>
      <c r="Y47" s="102">
        <v>0.15</v>
      </c>
      <c r="Z47" s="102">
        <v>0</v>
      </c>
      <c r="AA47" s="102">
        <v>1</v>
      </c>
      <c r="AB47" s="102">
        <v>0</v>
      </c>
      <c r="AC47" s="102">
        <v>15105</v>
      </c>
      <c r="AD47" s="190">
        <v>1.2552301255230125</v>
      </c>
      <c r="AE47" s="102">
        <v>2</v>
      </c>
      <c r="AF47" s="190">
        <v>9.3916954780821058E-2</v>
      </c>
      <c r="AG47" s="190">
        <v>8.695652173913043</v>
      </c>
    </row>
    <row r="48" spans="1:33" ht="30" x14ac:dyDescent="0.25">
      <c r="A48" s="102" t="s">
        <v>345</v>
      </c>
      <c r="B48" s="102" t="s">
        <v>528</v>
      </c>
      <c r="C48" s="102">
        <v>934</v>
      </c>
      <c r="D48" s="102" t="s">
        <v>678</v>
      </c>
      <c r="E48" s="102" t="s">
        <v>668</v>
      </c>
      <c r="F48" s="102">
        <f t="shared" si="0"/>
        <v>0</v>
      </c>
      <c r="G48" s="191" t="s">
        <v>710</v>
      </c>
      <c r="H48" s="102" t="s">
        <v>674</v>
      </c>
      <c r="I48" s="102">
        <v>1</v>
      </c>
      <c r="J48" s="102">
        <v>0</v>
      </c>
      <c r="K48" s="102">
        <v>1</v>
      </c>
      <c r="L48" s="102">
        <v>1</v>
      </c>
      <c r="M48" s="102">
        <v>1</v>
      </c>
      <c r="N48" s="102">
        <v>0</v>
      </c>
      <c r="O48" s="102">
        <v>0</v>
      </c>
      <c r="P48" s="102">
        <v>0</v>
      </c>
      <c r="Q48" s="190">
        <v>7.356321839080465</v>
      </c>
      <c r="R48" s="102" t="s">
        <v>705</v>
      </c>
      <c r="S48" s="102">
        <v>0</v>
      </c>
      <c r="T48" s="102">
        <v>0</v>
      </c>
      <c r="U48" s="102">
        <v>0.69</v>
      </c>
      <c r="V48" s="102">
        <v>0</v>
      </c>
      <c r="W48" s="102">
        <v>0</v>
      </c>
      <c r="X48" s="102">
        <v>80</v>
      </c>
      <c r="Y48" s="102">
        <v>3.23</v>
      </c>
      <c r="Z48" s="102">
        <v>1</v>
      </c>
      <c r="AA48" s="102">
        <v>1</v>
      </c>
      <c r="AB48" s="102">
        <v>1</v>
      </c>
      <c r="AC48" s="102">
        <v>9976</v>
      </c>
      <c r="AD48" s="190">
        <v>0.85836909871244638</v>
      </c>
      <c r="AE48" s="102">
        <v>1</v>
      </c>
      <c r="AF48" s="190">
        <v>5.7756378072984713E-2</v>
      </c>
      <c r="AG48" s="190">
        <v>5.8823529411764701</v>
      </c>
    </row>
    <row r="49" spans="1:33" ht="30" x14ac:dyDescent="0.25">
      <c r="A49" s="102" t="s">
        <v>346</v>
      </c>
      <c r="B49" s="102" t="s">
        <v>529</v>
      </c>
      <c r="C49" s="102">
        <v>105</v>
      </c>
      <c r="D49" s="102" t="s">
        <v>678</v>
      </c>
      <c r="E49" s="102" t="s">
        <v>670</v>
      </c>
      <c r="F49" s="102">
        <f t="shared" si="0"/>
        <v>0</v>
      </c>
      <c r="G49" s="191" t="s">
        <v>710</v>
      </c>
      <c r="H49" s="102" t="s">
        <v>674</v>
      </c>
      <c r="I49" s="102">
        <v>0</v>
      </c>
      <c r="J49" s="102">
        <v>0</v>
      </c>
      <c r="K49" s="102">
        <v>1</v>
      </c>
      <c r="L49" s="102">
        <v>0</v>
      </c>
      <c r="M49" s="102">
        <v>0</v>
      </c>
      <c r="N49" s="102">
        <v>0</v>
      </c>
      <c r="O49" s="102">
        <v>1</v>
      </c>
      <c r="P49" s="102">
        <v>0</v>
      </c>
      <c r="Q49" s="190">
        <v>-1.8691588785046775</v>
      </c>
      <c r="R49" s="102" t="s">
        <v>707</v>
      </c>
      <c r="S49" s="102">
        <v>1</v>
      </c>
      <c r="T49" s="102">
        <v>0</v>
      </c>
      <c r="U49" s="102">
        <v>0.52</v>
      </c>
      <c r="V49" s="102">
        <v>1</v>
      </c>
      <c r="W49" s="102">
        <v>0</v>
      </c>
      <c r="X49" s="102">
        <v>7</v>
      </c>
      <c r="Y49" s="102">
        <v>4.1100000000000003</v>
      </c>
      <c r="Z49" s="102">
        <v>1</v>
      </c>
      <c r="AA49" s="102">
        <v>1</v>
      </c>
      <c r="AB49" s="102">
        <v>0</v>
      </c>
      <c r="AC49" s="102">
        <v>8412</v>
      </c>
      <c r="AD49" s="190">
        <v>2.2222222222222223</v>
      </c>
      <c r="AE49" s="102">
        <v>1</v>
      </c>
      <c r="AF49" s="190">
        <v>0</v>
      </c>
      <c r="AG49" s="190">
        <v>11.111111111111111</v>
      </c>
    </row>
    <row r="50" spans="1:33" x14ac:dyDescent="0.25">
      <c r="A50" s="102" t="s">
        <v>347</v>
      </c>
      <c r="B50" s="102" t="s">
        <v>530</v>
      </c>
      <c r="C50" s="102">
        <v>314</v>
      </c>
      <c r="D50" s="102" t="s">
        <v>678</v>
      </c>
      <c r="E50" s="102" t="s">
        <v>666</v>
      </c>
      <c r="F50" s="102">
        <f t="shared" si="0"/>
        <v>0</v>
      </c>
      <c r="G50" s="191" t="s">
        <v>709</v>
      </c>
      <c r="H50" s="102" t="s">
        <v>673</v>
      </c>
      <c r="I50" s="102">
        <v>0</v>
      </c>
      <c r="J50" s="102">
        <v>0</v>
      </c>
      <c r="K50" s="102">
        <v>0</v>
      </c>
      <c r="L50" s="102">
        <v>1</v>
      </c>
      <c r="M50" s="102">
        <v>1</v>
      </c>
      <c r="N50" s="102">
        <v>1</v>
      </c>
      <c r="O50" s="102">
        <v>1</v>
      </c>
      <c r="P50" s="102">
        <v>1846</v>
      </c>
      <c r="Q50" s="190">
        <v>0.96463022508038421</v>
      </c>
      <c r="R50" s="102" t="s">
        <v>707</v>
      </c>
      <c r="S50" s="102">
        <v>0</v>
      </c>
      <c r="T50" s="102">
        <v>0</v>
      </c>
      <c r="U50" s="102">
        <v>0.68</v>
      </c>
      <c r="V50" s="102">
        <v>0</v>
      </c>
      <c r="W50" s="102">
        <v>0</v>
      </c>
      <c r="X50" s="102">
        <v>27</v>
      </c>
      <c r="Y50" s="102">
        <v>-0.4</v>
      </c>
      <c r="Z50" s="102">
        <v>0</v>
      </c>
      <c r="AA50" s="102">
        <v>1</v>
      </c>
      <c r="AB50" s="102">
        <v>1</v>
      </c>
      <c r="AC50" s="102">
        <v>6664</v>
      </c>
      <c r="AD50" s="190">
        <v>0.89285714285714279</v>
      </c>
      <c r="AE50" s="102">
        <v>1</v>
      </c>
      <c r="AF50" s="190">
        <v>0</v>
      </c>
      <c r="AG50" s="190">
        <v>12.5</v>
      </c>
    </row>
    <row r="51" spans="1:33" x14ac:dyDescent="0.25">
      <c r="A51" s="102" t="s">
        <v>348</v>
      </c>
      <c r="B51" s="102" t="s">
        <v>531</v>
      </c>
      <c r="C51" s="102">
        <v>3339</v>
      </c>
      <c r="D51" s="102" t="s">
        <v>680</v>
      </c>
      <c r="E51" s="102" t="s">
        <v>666</v>
      </c>
      <c r="F51" s="102">
        <f t="shared" si="0"/>
        <v>0</v>
      </c>
      <c r="G51" s="191" t="s">
        <v>709</v>
      </c>
      <c r="H51" s="102" t="s">
        <v>673</v>
      </c>
      <c r="I51" s="102">
        <v>0</v>
      </c>
      <c r="J51" s="102">
        <v>0</v>
      </c>
      <c r="K51" s="102">
        <v>0</v>
      </c>
      <c r="L51" s="102">
        <v>0</v>
      </c>
      <c r="M51" s="102">
        <v>0</v>
      </c>
      <c r="N51" s="102">
        <v>1</v>
      </c>
      <c r="O51" s="102">
        <v>1</v>
      </c>
      <c r="P51" s="102">
        <v>1019</v>
      </c>
      <c r="Q51" s="190">
        <v>-1.6784452296819836</v>
      </c>
      <c r="R51" s="102" t="s">
        <v>707</v>
      </c>
      <c r="S51" s="102">
        <v>0</v>
      </c>
      <c r="T51" s="102">
        <v>1</v>
      </c>
      <c r="U51" s="102">
        <v>0.72</v>
      </c>
      <c r="V51" s="102">
        <v>0</v>
      </c>
      <c r="W51" s="102">
        <v>1</v>
      </c>
      <c r="X51" s="102">
        <v>223</v>
      </c>
      <c r="Y51" s="102">
        <v>2.0499999999999998</v>
      </c>
      <c r="Z51" s="102">
        <v>1</v>
      </c>
      <c r="AA51" s="102">
        <v>1</v>
      </c>
      <c r="AB51" s="102">
        <v>1</v>
      </c>
      <c r="AC51" s="102">
        <v>18641</v>
      </c>
      <c r="AD51" s="190">
        <v>1.2759170653907497</v>
      </c>
      <c r="AE51" s="102">
        <v>11</v>
      </c>
      <c r="AF51" s="190">
        <v>0.68827968327068745</v>
      </c>
      <c r="AG51" s="190">
        <v>11.224489795918368</v>
      </c>
    </row>
    <row r="52" spans="1:33" x14ac:dyDescent="0.25">
      <c r="A52" s="102" t="s">
        <v>349</v>
      </c>
      <c r="B52" s="102" t="s">
        <v>532</v>
      </c>
      <c r="C52" s="102">
        <v>675</v>
      </c>
      <c r="D52" s="102" t="s">
        <v>678</v>
      </c>
      <c r="E52" s="102" t="s">
        <v>666</v>
      </c>
      <c r="F52" s="102">
        <f t="shared" si="0"/>
        <v>0</v>
      </c>
      <c r="G52" s="191" t="s">
        <v>711</v>
      </c>
      <c r="H52" s="102" t="s">
        <v>672</v>
      </c>
      <c r="I52" s="102">
        <v>0</v>
      </c>
      <c r="J52" s="102">
        <v>0</v>
      </c>
      <c r="K52" s="102">
        <v>0</v>
      </c>
      <c r="L52" s="102">
        <v>0</v>
      </c>
      <c r="M52" s="102">
        <v>0</v>
      </c>
      <c r="N52" s="102">
        <v>0</v>
      </c>
      <c r="O52" s="102">
        <v>0</v>
      </c>
      <c r="P52" s="102">
        <v>643</v>
      </c>
      <c r="Q52" s="190">
        <v>5.1401869158878526</v>
      </c>
      <c r="R52" s="102" t="s">
        <v>705</v>
      </c>
      <c r="S52" s="102">
        <v>0</v>
      </c>
      <c r="T52" s="102">
        <v>0</v>
      </c>
      <c r="U52" s="102">
        <v>0.66</v>
      </c>
      <c r="V52" s="102">
        <v>0</v>
      </c>
      <c r="W52" s="102">
        <v>0</v>
      </c>
      <c r="X52" s="102">
        <v>39</v>
      </c>
      <c r="Y52" s="102">
        <v>6.14</v>
      </c>
      <c r="Z52" s="102">
        <v>1</v>
      </c>
      <c r="AA52" s="102">
        <v>1</v>
      </c>
      <c r="AB52" s="102">
        <v>0</v>
      </c>
      <c r="AC52" s="102">
        <v>6831</v>
      </c>
      <c r="AD52" s="190">
        <v>2.4193548387096775</v>
      </c>
      <c r="AE52" s="102">
        <v>0</v>
      </c>
      <c r="AF52" s="190">
        <v>5.5569390373802409E-2</v>
      </c>
      <c r="AG52" s="190">
        <v>0</v>
      </c>
    </row>
    <row r="53" spans="1:33" x14ac:dyDescent="0.25">
      <c r="A53" s="102" t="s">
        <v>350</v>
      </c>
      <c r="B53" s="102" t="s">
        <v>533</v>
      </c>
      <c r="C53" s="102">
        <v>862</v>
      </c>
      <c r="D53" s="102" t="s">
        <v>678</v>
      </c>
      <c r="E53" s="102" t="s">
        <v>666</v>
      </c>
      <c r="F53" s="102">
        <f t="shared" si="0"/>
        <v>0</v>
      </c>
      <c r="G53" s="191" t="s">
        <v>709</v>
      </c>
      <c r="H53" s="102" t="s">
        <v>673</v>
      </c>
      <c r="I53" s="102">
        <v>0</v>
      </c>
      <c r="J53" s="102">
        <v>0</v>
      </c>
      <c r="K53" s="102">
        <v>0</v>
      </c>
      <c r="L53" s="102">
        <v>1</v>
      </c>
      <c r="M53" s="102">
        <v>1</v>
      </c>
      <c r="N53" s="102">
        <v>1</v>
      </c>
      <c r="O53" s="102">
        <v>1</v>
      </c>
      <c r="P53" s="102">
        <v>0</v>
      </c>
      <c r="Q53" s="190">
        <v>16.17250673854447</v>
      </c>
      <c r="R53" s="102" t="s">
        <v>705</v>
      </c>
      <c r="S53" s="102">
        <v>0</v>
      </c>
      <c r="T53" s="102">
        <v>1</v>
      </c>
      <c r="U53" s="102">
        <v>0.71</v>
      </c>
      <c r="V53" s="102">
        <v>0</v>
      </c>
      <c r="W53" s="102">
        <v>0</v>
      </c>
      <c r="X53" s="102">
        <v>56</v>
      </c>
      <c r="Y53" s="102">
        <v>1.87</v>
      </c>
      <c r="Z53" s="102">
        <v>0</v>
      </c>
      <c r="AA53" s="102">
        <v>1</v>
      </c>
      <c r="AB53" s="102">
        <v>1</v>
      </c>
      <c r="AC53" s="102">
        <v>9116</v>
      </c>
      <c r="AD53" s="190">
        <v>1.5037593984962405</v>
      </c>
      <c r="AE53" s="102">
        <v>1</v>
      </c>
      <c r="AF53" s="190">
        <v>0</v>
      </c>
      <c r="AG53" s="190">
        <v>3.7037037037037033</v>
      </c>
    </row>
    <row r="54" spans="1:33" x14ac:dyDescent="0.25">
      <c r="A54" s="102" t="s">
        <v>351</v>
      </c>
      <c r="B54" s="102" t="s">
        <v>534</v>
      </c>
      <c r="C54" s="102">
        <v>2338</v>
      </c>
      <c r="D54" s="102" t="s">
        <v>678</v>
      </c>
      <c r="E54" s="102" t="s">
        <v>666</v>
      </c>
      <c r="F54" s="102">
        <f t="shared" si="0"/>
        <v>0</v>
      </c>
      <c r="G54" s="191" t="s">
        <v>709</v>
      </c>
      <c r="H54" s="102" t="s">
        <v>673</v>
      </c>
      <c r="I54" s="102">
        <v>0</v>
      </c>
      <c r="J54" s="102">
        <v>0</v>
      </c>
      <c r="K54" s="102">
        <v>0</v>
      </c>
      <c r="L54" s="102">
        <v>1</v>
      </c>
      <c r="M54" s="102">
        <v>1</v>
      </c>
      <c r="N54" s="102">
        <v>0</v>
      </c>
      <c r="O54" s="102">
        <v>1</v>
      </c>
      <c r="P54" s="102">
        <v>2062</v>
      </c>
      <c r="Q54" s="190">
        <v>2.4091108190976911</v>
      </c>
      <c r="R54" s="102" t="s">
        <v>705</v>
      </c>
      <c r="S54" s="102">
        <v>0</v>
      </c>
      <c r="T54" s="102">
        <v>1</v>
      </c>
      <c r="U54" s="102">
        <v>0.67</v>
      </c>
      <c r="V54" s="102">
        <v>0</v>
      </c>
      <c r="W54" s="102">
        <v>0</v>
      </c>
      <c r="X54" s="102">
        <v>148</v>
      </c>
      <c r="Y54" s="102">
        <v>11.29</v>
      </c>
      <c r="Z54" s="102">
        <v>1</v>
      </c>
      <c r="AA54" s="102">
        <v>1</v>
      </c>
      <c r="AB54" s="102">
        <v>1</v>
      </c>
      <c r="AC54" s="102">
        <v>10887</v>
      </c>
      <c r="AD54" s="190">
        <v>0.29629629629629628</v>
      </c>
      <c r="AE54" s="102">
        <v>5</v>
      </c>
      <c r="AF54" s="190">
        <v>9.0017369409297499E-2</v>
      </c>
      <c r="AG54" s="190">
        <v>8.3333333333333339</v>
      </c>
    </row>
    <row r="55" spans="1:33" x14ac:dyDescent="0.25">
      <c r="A55" s="102" t="s">
        <v>352</v>
      </c>
      <c r="B55" s="102" t="s">
        <v>535</v>
      </c>
      <c r="C55" s="102">
        <v>3921</v>
      </c>
      <c r="D55" s="102" t="s">
        <v>680</v>
      </c>
      <c r="E55" s="102" t="s">
        <v>666</v>
      </c>
      <c r="F55" s="102">
        <f t="shared" si="0"/>
        <v>0</v>
      </c>
      <c r="G55" s="191" t="s">
        <v>709</v>
      </c>
      <c r="H55" s="102" t="s">
        <v>673</v>
      </c>
      <c r="I55" s="102">
        <v>0</v>
      </c>
      <c r="J55" s="102">
        <v>0</v>
      </c>
      <c r="K55" s="102">
        <v>0</v>
      </c>
      <c r="L55" s="102">
        <v>0</v>
      </c>
      <c r="M55" s="102">
        <v>0</v>
      </c>
      <c r="N55" s="102">
        <v>1</v>
      </c>
      <c r="O55" s="102">
        <v>1</v>
      </c>
      <c r="P55" s="102">
        <v>0</v>
      </c>
      <c r="Q55" s="190">
        <v>1.4751552795030989</v>
      </c>
      <c r="R55" s="102" t="s">
        <v>707</v>
      </c>
      <c r="S55" s="102">
        <v>0</v>
      </c>
      <c r="T55" s="102">
        <v>0</v>
      </c>
      <c r="U55" s="102">
        <v>0.74</v>
      </c>
      <c r="V55" s="102">
        <v>0</v>
      </c>
      <c r="W55" s="102">
        <v>1</v>
      </c>
      <c r="X55" s="102">
        <v>235</v>
      </c>
      <c r="Y55" s="102">
        <v>4.08</v>
      </c>
      <c r="Z55" s="102">
        <v>1</v>
      </c>
      <c r="AA55" s="102">
        <v>1</v>
      </c>
      <c r="AB55" s="102">
        <v>1</v>
      </c>
      <c r="AC55" s="102">
        <v>54055</v>
      </c>
      <c r="AD55" s="190">
        <v>0.32637075718015668</v>
      </c>
      <c r="AE55" s="102">
        <v>6</v>
      </c>
      <c r="AF55" s="190">
        <v>9.9091358129671389E-2</v>
      </c>
      <c r="AG55" s="190">
        <v>4.838709677419355</v>
      </c>
    </row>
    <row r="56" spans="1:33" x14ac:dyDescent="0.25">
      <c r="A56" s="102" t="s">
        <v>353</v>
      </c>
      <c r="B56" s="102" t="s">
        <v>536</v>
      </c>
      <c r="C56" s="102">
        <v>1347</v>
      </c>
      <c r="D56" s="102" t="s">
        <v>678</v>
      </c>
      <c r="E56" s="102" t="s">
        <v>666</v>
      </c>
      <c r="F56" s="102">
        <f t="shared" si="0"/>
        <v>0</v>
      </c>
      <c r="G56" s="191" t="s">
        <v>709</v>
      </c>
      <c r="H56" s="102" t="s">
        <v>673</v>
      </c>
      <c r="I56" s="102">
        <v>0</v>
      </c>
      <c r="J56" s="102">
        <v>0</v>
      </c>
      <c r="K56" s="102">
        <v>0</v>
      </c>
      <c r="L56" s="102">
        <v>0</v>
      </c>
      <c r="M56" s="102">
        <v>0</v>
      </c>
      <c r="N56" s="102">
        <v>1</v>
      </c>
      <c r="O56" s="102">
        <v>1</v>
      </c>
      <c r="P56" s="102">
        <v>529</v>
      </c>
      <c r="Q56" s="190">
        <v>1.891074130105892</v>
      </c>
      <c r="R56" s="102" t="s">
        <v>707</v>
      </c>
      <c r="S56" s="102">
        <v>0</v>
      </c>
      <c r="T56" s="102">
        <v>0</v>
      </c>
      <c r="U56" s="102">
        <v>0.7</v>
      </c>
      <c r="V56" s="102">
        <v>0</v>
      </c>
      <c r="W56" s="102">
        <v>0</v>
      </c>
      <c r="X56" s="102">
        <v>78</v>
      </c>
      <c r="Y56" s="102">
        <v>3.5</v>
      </c>
      <c r="Z56" s="102">
        <v>1</v>
      </c>
      <c r="AA56" s="102">
        <v>1</v>
      </c>
      <c r="AB56" s="102">
        <v>1</v>
      </c>
      <c r="AC56" s="102">
        <v>62758</v>
      </c>
      <c r="AD56" s="190">
        <v>0.79051383399209496</v>
      </c>
      <c r="AE56" s="102">
        <v>6</v>
      </c>
      <c r="AF56" s="190">
        <v>0.20966444498339942</v>
      </c>
      <c r="AG56" s="190">
        <v>20</v>
      </c>
    </row>
    <row r="57" spans="1:33" ht="30" x14ac:dyDescent="0.25">
      <c r="A57" s="102" t="s">
        <v>354</v>
      </c>
      <c r="B57" s="102" t="s">
        <v>537</v>
      </c>
      <c r="C57" s="102">
        <v>3134</v>
      </c>
      <c r="D57" s="102" t="s">
        <v>678</v>
      </c>
      <c r="E57" s="102" t="s">
        <v>664</v>
      </c>
      <c r="F57" s="102">
        <f t="shared" si="0"/>
        <v>0</v>
      </c>
      <c r="G57" s="191" t="s">
        <v>710</v>
      </c>
      <c r="H57" s="102" t="s">
        <v>674</v>
      </c>
      <c r="I57" s="102">
        <v>0</v>
      </c>
      <c r="J57" s="102">
        <v>0</v>
      </c>
      <c r="K57" s="102">
        <v>0</v>
      </c>
      <c r="L57" s="102">
        <v>1</v>
      </c>
      <c r="M57" s="102">
        <v>1</v>
      </c>
      <c r="N57" s="102">
        <v>1</v>
      </c>
      <c r="O57" s="102">
        <v>1</v>
      </c>
      <c r="P57" s="102">
        <v>2770</v>
      </c>
      <c r="Q57" s="190">
        <v>3.2279314888010617</v>
      </c>
      <c r="R57" s="102" t="s">
        <v>705</v>
      </c>
      <c r="S57" s="102">
        <v>0</v>
      </c>
      <c r="T57" s="102">
        <v>1</v>
      </c>
      <c r="U57" s="102">
        <v>0.83</v>
      </c>
      <c r="V57" s="102">
        <v>0</v>
      </c>
      <c r="W57" s="102">
        <v>1</v>
      </c>
      <c r="X57" s="102">
        <v>225</v>
      </c>
      <c r="Y57" s="102">
        <v>-0.18</v>
      </c>
      <c r="Z57" s="102">
        <v>0</v>
      </c>
      <c r="AA57" s="102">
        <v>1</v>
      </c>
      <c r="AB57" s="102">
        <v>1</v>
      </c>
      <c r="AC57" s="102">
        <v>36583</v>
      </c>
      <c r="AD57" s="190">
        <v>0.19120458891013384</v>
      </c>
      <c r="AE57" s="102">
        <v>5</v>
      </c>
      <c r="AF57" s="190">
        <v>1.9001679723528304E-2</v>
      </c>
      <c r="AG57" s="190">
        <v>6.5789473684210522</v>
      </c>
    </row>
    <row r="58" spans="1:33" x14ac:dyDescent="0.25">
      <c r="A58" s="102" t="s">
        <v>355</v>
      </c>
      <c r="B58" s="102" t="s">
        <v>538</v>
      </c>
      <c r="C58" s="102">
        <v>67</v>
      </c>
      <c r="D58" s="102" t="s">
        <v>678</v>
      </c>
      <c r="E58" s="102" t="s">
        <v>666</v>
      </c>
      <c r="F58" s="102">
        <f t="shared" si="0"/>
        <v>0</v>
      </c>
      <c r="G58" s="191" t="s">
        <v>709</v>
      </c>
      <c r="H58" s="102" t="s">
        <v>673</v>
      </c>
      <c r="I58" s="102">
        <v>0</v>
      </c>
      <c r="J58" s="102">
        <v>0</v>
      </c>
      <c r="K58" s="102">
        <v>0</v>
      </c>
      <c r="L58" s="102">
        <v>0</v>
      </c>
      <c r="M58" s="102">
        <v>0</v>
      </c>
      <c r="N58" s="102">
        <v>1</v>
      </c>
      <c r="O58" s="102">
        <v>1</v>
      </c>
      <c r="P58" s="102">
        <v>0</v>
      </c>
      <c r="Q58" s="190">
        <v>9.8360655737704974</v>
      </c>
      <c r="R58" s="102" t="s">
        <v>705</v>
      </c>
      <c r="S58" s="102">
        <v>0</v>
      </c>
      <c r="T58" s="102">
        <v>0</v>
      </c>
      <c r="U58" s="102">
        <v>0.55000000000000004</v>
      </c>
      <c r="V58" s="102">
        <v>1</v>
      </c>
      <c r="W58" s="102">
        <v>0</v>
      </c>
      <c r="X58" s="102">
        <v>4</v>
      </c>
      <c r="Y58" s="102">
        <v>2.31</v>
      </c>
      <c r="Z58" s="102">
        <v>1</v>
      </c>
      <c r="AA58" s="102">
        <v>0</v>
      </c>
      <c r="AB58" s="102">
        <v>0</v>
      </c>
      <c r="AC58" s="102">
        <v>8343</v>
      </c>
      <c r="AD58" s="190">
        <v>0</v>
      </c>
      <c r="AE58" s="102">
        <v>1</v>
      </c>
      <c r="AF58" s="190">
        <v>0</v>
      </c>
      <c r="AG58" s="190">
        <v>100</v>
      </c>
    </row>
    <row r="59" spans="1:33" x14ac:dyDescent="0.25">
      <c r="A59" s="102" t="s">
        <v>356</v>
      </c>
      <c r="B59" s="102" t="s">
        <v>539</v>
      </c>
      <c r="C59" s="102">
        <v>1321</v>
      </c>
      <c r="D59" s="102" t="s">
        <v>678</v>
      </c>
      <c r="E59" s="102" t="s">
        <v>668</v>
      </c>
      <c r="F59" s="102">
        <f t="shared" si="0"/>
        <v>0</v>
      </c>
      <c r="G59" s="191" t="s">
        <v>711</v>
      </c>
      <c r="H59" s="102" t="s">
        <v>672</v>
      </c>
      <c r="I59" s="102">
        <v>1</v>
      </c>
      <c r="J59" s="102">
        <v>0</v>
      </c>
      <c r="K59" s="102">
        <v>1</v>
      </c>
      <c r="L59" s="102">
        <v>1</v>
      </c>
      <c r="M59" s="102">
        <v>1</v>
      </c>
      <c r="N59" s="102">
        <v>0</v>
      </c>
      <c r="O59" s="102">
        <v>0</v>
      </c>
      <c r="P59" s="102">
        <v>0</v>
      </c>
      <c r="Q59" s="190">
        <v>0.9938837920489334</v>
      </c>
      <c r="R59" s="102" t="s">
        <v>707</v>
      </c>
      <c r="S59" s="102">
        <v>1</v>
      </c>
      <c r="T59" s="102">
        <v>0</v>
      </c>
      <c r="U59" s="102">
        <v>0.69</v>
      </c>
      <c r="V59" s="102">
        <v>0</v>
      </c>
      <c r="W59" s="102">
        <v>0</v>
      </c>
      <c r="X59" s="102">
        <v>107</v>
      </c>
      <c r="Y59" s="102">
        <v>0.12</v>
      </c>
      <c r="Z59" s="102">
        <v>0</v>
      </c>
      <c r="AA59" s="102">
        <v>1</v>
      </c>
      <c r="AB59" s="102">
        <v>0</v>
      </c>
      <c r="AC59" s="102">
        <v>7154</v>
      </c>
      <c r="AD59" s="190">
        <v>0.15220700152207001</v>
      </c>
      <c r="AE59" s="102">
        <v>4</v>
      </c>
      <c r="AF59" s="190">
        <v>0.10192127119353953</v>
      </c>
      <c r="AG59" s="190">
        <v>15.384615384615383</v>
      </c>
    </row>
    <row r="60" spans="1:33" x14ac:dyDescent="0.25">
      <c r="A60" s="102" t="s">
        <v>357</v>
      </c>
      <c r="B60" s="102" t="s">
        <v>540</v>
      </c>
      <c r="C60" s="102">
        <v>372</v>
      </c>
      <c r="D60" s="102" t="s">
        <v>678</v>
      </c>
      <c r="E60" s="102" t="s">
        <v>667</v>
      </c>
      <c r="F60" s="102">
        <f t="shared" si="0"/>
        <v>0</v>
      </c>
      <c r="G60" s="191" t="s">
        <v>711</v>
      </c>
      <c r="H60" s="102" t="s">
        <v>672</v>
      </c>
      <c r="I60" s="102">
        <v>0</v>
      </c>
      <c r="J60" s="102">
        <v>0</v>
      </c>
      <c r="K60" s="102">
        <v>1</v>
      </c>
      <c r="L60" s="102">
        <v>0</v>
      </c>
      <c r="M60" s="102">
        <v>0</v>
      </c>
      <c r="N60" s="102">
        <v>0</v>
      </c>
      <c r="O60" s="102">
        <v>0</v>
      </c>
      <c r="P60" s="102">
        <v>0</v>
      </c>
      <c r="Q60" s="190">
        <v>-4.1237113402061851</v>
      </c>
      <c r="R60" s="102" t="s">
        <v>706</v>
      </c>
      <c r="S60" s="102">
        <v>0</v>
      </c>
      <c r="T60" s="102">
        <v>0</v>
      </c>
      <c r="U60" s="102">
        <v>0.54</v>
      </c>
      <c r="V60" s="102">
        <v>1</v>
      </c>
      <c r="W60" s="102">
        <v>0</v>
      </c>
      <c r="X60" s="102">
        <v>22</v>
      </c>
      <c r="Y60" s="102">
        <v>0</v>
      </c>
      <c r="Z60" s="102">
        <v>0</v>
      </c>
      <c r="AA60" s="102">
        <v>1</v>
      </c>
      <c r="AB60" s="102">
        <v>0</v>
      </c>
      <c r="AC60" s="102">
        <v>17170</v>
      </c>
      <c r="AD60" s="190">
        <v>3.6585365853658538</v>
      </c>
      <c r="AE60" s="102">
        <v>1</v>
      </c>
      <c r="AF60" s="190">
        <v>0</v>
      </c>
      <c r="AG60" s="190">
        <v>11.111111111111111</v>
      </c>
    </row>
    <row r="61" spans="1:33" ht="30" x14ac:dyDescent="0.25">
      <c r="A61" s="102" t="s">
        <v>358</v>
      </c>
      <c r="B61" s="102" t="s">
        <v>541</v>
      </c>
      <c r="C61" s="102">
        <v>1237</v>
      </c>
      <c r="D61" s="102" t="s">
        <v>678</v>
      </c>
      <c r="E61" s="102" t="s">
        <v>668</v>
      </c>
      <c r="F61" s="102">
        <f t="shared" si="0"/>
        <v>0</v>
      </c>
      <c r="G61" s="191" t="s">
        <v>710</v>
      </c>
      <c r="H61" s="102" t="s">
        <v>674</v>
      </c>
      <c r="I61" s="102">
        <v>1</v>
      </c>
      <c r="J61" s="102">
        <v>0</v>
      </c>
      <c r="K61" s="102">
        <v>1</v>
      </c>
      <c r="L61" s="102">
        <v>1</v>
      </c>
      <c r="M61" s="102">
        <v>1</v>
      </c>
      <c r="N61" s="102">
        <v>0</v>
      </c>
      <c r="O61" s="102">
        <v>0</v>
      </c>
      <c r="P61" s="102">
        <v>0</v>
      </c>
      <c r="Q61" s="190">
        <v>2.0627062706270749</v>
      </c>
      <c r="R61" s="102" t="s">
        <v>705</v>
      </c>
      <c r="S61" s="102">
        <v>1</v>
      </c>
      <c r="T61" s="102">
        <v>0</v>
      </c>
      <c r="U61" s="102">
        <v>0.65</v>
      </c>
      <c r="V61" s="102">
        <v>1</v>
      </c>
      <c r="W61" s="102">
        <v>0</v>
      </c>
      <c r="X61" s="102">
        <v>90</v>
      </c>
      <c r="Y61" s="102">
        <v>-0.01</v>
      </c>
      <c r="Z61" s="102">
        <v>0</v>
      </c>
      <c r="AA61" s="102">
        <v>1</v>
      </c>
      <c r="AB61" s="102">
        <v>0</v>
      </c>
      <c r="AC61" s="102">
        <v>4893</v>
      </c>
      <c r="AD61" s="190">
        <v>0.33167495854063017</v>
      </c>
      <c r="AE61" s="102">
        <v>2</v>
      </c>
      <c r="AF61" s="190">
        <v>8.3645148549550019E-2</v>
      </c>
      <c r="AG61" s="190">
        <v>12.5</v>
      </c>
    </row>
    <row r="62" spans="1:33" x14ac:dyDescent="0.25">
      <c r="A62" s="102" t="s">
        <v>359</v>
      </c>
      <c r="B62" s="102" t="s">
        <v>244</v>
      </c>
      <c r="C62" s="102">
        <v>133946</v>
      </c>
      <c r="D62" s="102" t="s">
        <v>679</v>
      </c>
      <c r="E62" s="102" t="s">
        <v>664</v>
      </c>
      <c r="F62" s="102">
        <f t="shared" si="0"/>
        <v>1</v>
      </c>
      <c r="G62" s="191" t="s">
        <v>712</v>
      </c>
      <c r="H62" s="102" t="s">
        <v>675</v>
      </c>
      <c r="I62" s="102">
        <v>0</v>
      </c>
      <c r="J62" s="102">
        <v>1</v>
      </c>
      <c r="K62" s="102">
        <v>0</v>
      </c>
      <c r="L62" s="102">
        <v>1</v>
      </c>
      <c r="M62" s="102">
        <v>1</v>
      </c>
      <c r="N62" s="102">
        <v>1</v>
      </c>
      <c r="O62" s="102">
        <v>1</v>
      </c>
      <c r="P62" s="102">
        <v>219243</v>
      </c>
      <c r="Q62" s="190">
        <v>3.3789207211657128</v>
      </c>
      <c r="R62" s="102" t="s">
        <v>705</v>
      </c>
      <c r="S62" s="102">
        <v>0</v>
      </c>
      <c r="T62" s="102">
        <v>1</v>
      </c>
      <c r="U62" s="102">
        <v>0.95</v>
      </c>
      <c r="V62" s="102">
        <v>0</v>
      </c>
      <c r="W62" s="102">
        <v>1</v>
      </c>
      <c r="X62" s="102">
        <v>7585</v>
      </c>
      <c r="Y62" s="102">
        <v>3.97</v>
      </c>
      <c r="Z62" s="102">
        <v>1</v>
      </c>
      <c r="AA62" s="102">
        <v>1</v>
      </c>
      <c r="AB62" s="102">
        <v>1</v>
      </c>
      <c r="AC62" s="102">
        <v>127652</v>
      </c>
      <c r="AD62" s="190">
        <v>0.14781445766171605</v>
      </c>
      <c r="AE62" s="102">
        <v>59</v>
      </c>
      <c r="AF62" s="190">
        <v>4.5969124332611744E-2</v>
      </c>
      <c r="AG62" s="190">
        <v>0.78603783639754865</v>
      </c>
    </row>
    <row r="63" spans="1:33" ht="30" x14ac:dyDescent="0.25">
      <c r="A63" s="102" t="s">
        <v>360</v>
      </c>
      <c r="B63" s="102" t="s">
        <v>542</v>
      </c>
      <c r="C63" s="102">
        <v>504</v>
      </c>
      <c r="D63" s="102" t="s">
        <v>678</v>
      </c>
      <c r="E63" s="102" t="s">
        <v>670</v>
      </c>
      <c r="F63" s="102">
        <f t="shared" si="0"/>
        <v>0</v>
      </c>
      <c r="G63" s="191" t="s">
        <v>710</v>
      </c>
      <c r="H63" s="102" t="s">
        <v>674</v>
      </c>
      <c r="I63" s="102">
        <v>0</v>
      </c>
      <c r="J63" s="102">
        <v>0</v>
      </c>
      <c r="K63" s="102">
        <v>1</v>
      </c>
      <c r="L63" s="102">
        <v>1</v>
      </c>
      <c r="M63" s="102">
        <v>1</v>
      </c>
      <c r="N63" s="102">
        <v>0</v>
      </c>
      <c r="O63" s="102">
        <v>0</v>
      </c>
      <c r="P63" s="102">
        <v>0</v>
      </c>
      <c r="Q63" s="190">
        <v>-1.1764705882352899</v>
      </c>
      <c r="R63" s="102" t="s">
        <v>707</v>
      </c>
      <c r="S63" s="102">
        <v>0</v>
      </c>
      <c r="T63" s="102">
        <v>0</v>
      </c>
      <c r="U63" s="102">
        <v>0.66</v>
      </c>
      <c r="V63" s="102">
        <v>0</v>
      </c>
      <c r="W63" s="102">
        <v>0</v>
      </c>
      <c r="X63" s="102">
        <v>36</v>
      </c>
      <c r="Y63" s="102">
        <v>0.03</v>
      </c>
      <c r="Z63" s="102">
        <v>0</v>
      </c>
      <c r="AA63" s="102">
        <v>1</v>
      </c>
      <c r="AB63" s="102">
        <v>0</v>
      </c>
      <c r="AC63" s="102">
        <v>15981</v>
      </c>
      <c r="AD63" s="190">
        <v>0.37037037037037035</v>
      </c>
      <c r="AE63" s="102">
        <v>0</v>
      </c>
      <c r="AF63" s="190">
        <v>0</v>
      </c>
      <c r="AG63" s="190">
        <v>0</v>
      </c>
    </row>
    <row r="64" spans="1:33" ht="30" x14ac:dyDescent="0.25">
      <c r="A64" s="102" t="s">
        <v>361</v>
      </c>
      <c r="B64" s="102" t="s">
        <v>543</v>
      </c>
      <c r="C64" s="102">
        <v>1799</v>
      </c>
      <c r="D64" s="102" t="s">
        <v>678</v>
      </c>
      <c r="E64" s="102" t="s">
        <v>664</v>
      </c>
      <c r="F64" s="102">
        <f t="shared" si="0"/>
        <v>0</v>
      </c>
      <c r="G64" s="191" t="s">
        <v>708</v>
      </c>
      <c r="H64" s="102" t="s">
        <v>671</v>
      </c>
      <c r="I64" s="102">
        <v>0</v>
      </c>
      <c r="J64" s="102">
        <v>0</v>
      </c>
      <c r="K64" s="102">
        <v>0</v>
      </c>
      <c r="L64" s="102">
        <v>1</v>
      </c>
      <c r="M64" s="102">
        <v>1</v>
      </c>
      <c r="N64" s="102">
        <v>1</v>
      </c>
      <c r="O64" s="102">
        <v>1</v>
      </c>
      <c r="P64" s="102">
        <v>0</v>
      </c>
      <c r="Q64" s="190">
        <v>5.2662375658279643</v>
      </c>
      <c r="R64" s="102" t="s">
        <v>705</v>
      </c>
      <c r="S64" s="102">
        <v>0</v>
      </c>
      <c r="T64" s="102">
        <v>0</v>
      </c>
      <c r="U64" s="102">
        <v>0.84</v>
      </c>
      <c r="V64" s="102">
        <v>0</v>
      </c>
      <c r="W64" s="102">
        <v>1</v>
      </c>
      <c r="X64" s="102">
        <v>162</v>
      </c>
      <c r="Y64" s="102">
        <v>6.92</v>
      </c>
      <c r="Z64" s="102">
        <v>1</v>
      </c>
      <c r="AA64" s="102">
        <v>1</v>
      </c>
      <c r="AB64" s="102">
        <v>0</v>
      </c>
      <c r="AC64" s="102">
        <v>56160</v>
      </c>
      <c r="AD64" s="190">
        <v>0.11148272017837234</v>
      </c>
      <c r="AE64" s="102">
        <v>0</v>
      </c>
      <c r="AF64" s="190">
        <v>4.2381039386759619E-4</v>
      </c>
      <c r="AG64" s="190">
        <v>0</v>
      </c>
    </row>
    <row r="65" spans="1:33" ht="30" x14ac:dyDescent="0.25">
      <c r="A65" s="102" t="s">
        <v>362</v>
      </c>
      <c r="B65" s="102" t="s">
        <v>544</v>
      </c>
      <c r="C65" s="102">
        <v>1519</v>
      </c>
      <c r="D65" s="102" t="s">
        <v>678</v>
      </c>
      <c r="E65" s="102" t="s">
        <v>664</v>
      </c>
      <c r="F65" s="102">
        <f t="shared" si="0"/>
        <v>0</v>
      </c>
      <c r="G65" s="191" t="s">
        <v>710</v>
      </c>
      <c r="H65" s="102" t="s">
        <v>674</v>
      </c>
      <c r="I65" s="102">
        <v>0</v>
      </c>
      <c r="J65" s="102">
        <v>0</v>
      </c>
      <c r="K65" s="102">
        <v>0</v>
      </c>
      <c r="L65" s="102">
        <v>1</v>
      </c>
      <c r="M65" s="102">
        <v>1</v>
      </c>
      <c r="N65" s="102">
        <v>0</v>
      </c>
      <c r="O65" s="102">
        <v>0</v>
      </c>
      <c r="P65" s="102">
        <v>0</v>
      </c>
      <c r="Q65" s="190">
        <v>5.1939058171745245</v>
      </c>
      <c r="R65" s="102" t="s">
        <v>705</v>
      </c>
      <c r="S65" s="102">
        <v>0</v>
      </c>
      <c r="T65" s="102">
        <v>0</v>
      </c>
      <c r="U65" s="102">
        <v>0.74</v>
      </c>
      <c r="V65" s="102">
        <v>0</v>
      </c>
      <c r="W65" s="102">
        <v>1</v>
      </c>
      <c r="X65" s="102">
        <v>118</v>
      </c>
      <c r="Y65" s="102">
        <v>1.9</v>
      </c>
      <c r="Z65" s="102">
        <v>0</v>
      </c>
      <c r="AA65" s="102">
        <v>0</v>
      </c>
      <c r="AB65" s="102">
        <v>0</v>
      </c>
      <c r="AC65" s="102">
        <v>4930</v>
      </c>
      <c r="AD65" s="190">
        <v>0.39011703511053314</v>
      </c>
      <c r="AE65" s="102">
        <v>1</v>
      </c>
      <c r="AF65" s="190">
        <v>0</v>
      </c>
      <c r="AG65" s="190">
        <v>2.3809523809523809</v>
      </c>
    </row>
    <row r="66" spans="1:33" x14ac:dyDescent="0.25">
      <c r="A66" s="102" t="s">
        <v>363</v>
      </c>
      <c r="B66" s="102" t="s">
        <v>545</v>
      </c>
      <c r="C66" s="102">
        <v>847</v>
      </c>
      <c r="D66" s="102" t="s">
        <v>678</v>
      </c>
      <c r="E66" s="102" t="s">
        <v>664</v>
      </c>
      <c r="F66" s="102">
        <f t="shared" si="0"/>
        <v>0</v>
      </c>
      <c r="G66" s="191" t="s">
        <v>711</v>
      </c>
      <c r="H66" s="102" t="s">
        <v>672</v>
      </c>
      <c r="I66" s="102">
        <v>0</v>
      </c>
      <c r="J66" s="102">
        <v>0</v>
      </c>
      <c r="K66" s="102">
        <v>0</v>
      </c>
      <c r="L66" s="102">
        <v>1</v>
      </c>
      <c r="M66" s="102">
        <v>1</v>
      </c>
      <c r="N66" s="102">
        <v>0</v>
      </c>
      <c r="O66" s="102">
        <v>1</v>
      </c>
      <c r="P66" s="102">
        <v>0</v>
      </c>
      <c r="Q66" s="190">
        <v>4.6971569839307818</v>
      </c>
      <c r="R66" s="102" t="s">
        <v>705</v>
      </c>
      <c r="S66" s="102">
        <v>0</v>
      </c>
      <c r="T66" s="102">
        <v>0</v>
      </c>
      <c r="U66" s="102">
        <v>0.69</v>
      </c>
      <c r="V66" s="102">
        <v>0</v>
      </c>
      <c r="W66" s="102">
        <v>0</v>
      </c>
      <c r="X66" s="102">
        <v>60</v>
      </c>
      <c r="Y66" s="102">
        <v>-0.39</v>
      </c>
      <c r="Z66" s="102">
        <v>0</v>
      </c>
      <c r="AA66" s="102">
        <v>1</v>
      </c>
      <c r="AB66" s="102">
        <v>0</v>
      </c>
      <c r="AC66" s="102">
        <v>6270</v>
      </c>
      <c r="AD66" s="190">
        <v>0.5089058524173028</v>
      </c>
      <c r="AE66" s="102">
        <v>7</v>
      </c>
      <c r="AF66" s="190">
        <v>8.9683281329316789E-3</v>
      </c>
      <c r="AG66" s="190">
        <v>38.888888888888893</v>
      </c>
    </row>
    <row r="67" spans="1:33" x14ac:dyDescent="0.25">
      <c r="A67" s="102" t="s">
        <v>364</v>
      </c>
      <c r="B67" s="102" t="s">
        <v>546</v>
      </c>
      <c r="C67" s="102">
        <v>3327</v>
      </c>
      <c r="D67" s="102" t="s">
        <v>678</v>
      </c>
      <c r="E67" s="102" t="s">
        <v>668</v>
      </c>
      <c r="F67" s="102">
        <f t="shared" si="0"/>
        <v>0</v>
      </c>
      <c r="G67" s="191" t="s">
        <v>711</v>
      </c>
      <c r="H67" s="102" t="s">
        <v>672</v>
      </c>
      <c r="I67" s="102">
        <v>1</v>
      </c>
      <c r="J67" s="102">
        <v>0</v>
      </c>
      <c r="K67" s="102">
        <v>1</v>
      </c>
      <c r="L67" s="102">
        <v>1</v>
      </c>
      <c r="M67" s="102">
        <v>1</v>
      </c>
      <c r="N67" s="102">
        <v>0</v>
      </c>
      <c r="O67" s="102">
        <v>1</v>
      </c>
      <c r="P67" s="102">
        <v>0</v>
      </c>
      <c r="Q67" s="190">
        <v>0.87932080048514649</v>
      </c>
      <c r="R67" s="102" t="s">
        <v>707</v>
      </c>
      <c r="S67" s="102">
        <v>0</v>
      </c>
      <c r="T67" s="102">
        <v>0</v>
      </c>
      <c r="U67" s="102">
        <v>0.72</v>
      </c>
      <c r="V67" s="102">
        <v>0</v>
      </c>
      <c r="W67" s="102">
        <v>0</v>
      </c>
      <c r="X67" s="102">
        <v>252</v>
      </c>
      <c r="Y67" s="102">
        <v>1.43</v>
      </c>
      <c r="Z67" s="102">
        <v>0</v>
      </c>
      <c r="AA67" s="102">
        <v>1</v>
      </c>
      <c r="AB67" s="102">
        <v>0</v>
      </c>
      <c r="AC67" s="102">
        <v>8586</v>
      </c>
      <c r="AD67" s="190">
        <v>0.30562347188264061</v>
      </c>
      <c r="AE67" s="102">
        <v>3</v>
      </c>
      <c r="AF67" s="190">
        <v>0</v>
      </c>
      <c r="AG67" s="190">
        <v>4.7619047619047619</v>
      </c>
    </row>
    <row r="68" spans="1:33" ht="30" x14ac:dyDescent="0.25">
      <c r="A68" s="102" t="s">
        <v>365</v>
      </c>
      <c r="B68" s="102" t="s">
        <v>547</v>
      </c>
      <c r="C68" s="102">
        <v>7863</v>
      </c>
      <c r="D68" s="102" t="s">
        <v>678</v>
      </c>
      <c r="E68" s="102" t="s">
        <v>664</v>
      </c>
      <c r="F68" s="102">
        <f t="shared" si="0"/>
        <v>1</v>
      </c>
      <c r="G68" s="191" t="s">
        <v>710</v>
      </c>
      <c r="H68" s="102" t="s">
        <v>674</v>
      </c>
      <c r="I68" s="102">
        <v>0</v>
      </c>
      <c r="J68" s="102">
        <v>0</v>
      </c>
      <c r="K68" s="102">
        <v>0</v>
      </c>
      <c r="L68" s="102">
        <v>1</v>
      </c>
      <c r="M68" s="102">
        <v>1</v>
      </c>
      <c r="N68" s="102">
        <v>1</v>
      </c>
      <c r="O68" s="102">
        <v>1</v>
      </c>
      <c r="P68" s="102">
        <v>6925</v>
      </c>
      <c r="Q68" s="190">
        <v>18.974126191556962</v>
      </c>
      <c r="R68" s="102" t="s">
        <v>705</v>
      </c>
      <c r="S68" s="102">
        <v>0</v>
      </c>
      <c r="T68" s="102">
        <v>0</v>
      </c>
      <c r="U68" s="102">
        <v>0.91</v>
      </c>
      <c r="V68" s="102">
        <v>0</v>
      </c>
      <c r="W68" s="102">
        <v>1</v>
      </c>
      <c r="X68" s="102">
        <v>585</v>
      </c>
      <c r="Y68" s="102">
        <v>2.58</v>
      </c>
      <c r="Z68" s="102">
        <v>1</v>
      </c>
      <c r="AA68" s="102">
        <v>1</v>
      </c>
      <c r="AB68" s="102">
        <v>0</v>
      </c>
      <c r="AC68" s="102">
        <v>24631</v>
      </c>
      <c r="AD68" s="190">
        <v>0.11961722488038279</v>
      </c>
      <c r="AE68" s="102">
        <v>7</v>
      </c>
      <c r="AF68" s="190">
        <v>7.0682971993932725E-2</v>
      </c>
      <c r="AG68" s="190">
        <v>1.8229166666666667</v>
      </c>
    </row>
    <row r="69" spans="1:33" ht="30" x14ac:dyDescent="0.25">
      <c r="A69" s="102" t="s">
        <v>366</v>
      </c>
      <c r="B69" s="102" t="s">
        <v>548</v>
      </c>
      <c r="C69" s="102">
        <v>2378</v>
      </c>
      <c r="D69" s="102" t="s">
        <v>678</v>
      </c>
      <c r="E69" s="102" t="s">
        <v>664</v>
      </c>
      <c r="F69" s="102">
        <f t="shared" ref="F69:F132" si="1">IF(C69&gt;=5000,1,0)</f>
        <v>0</v>
      </c>
      <c r="G69" s="191" t="s">
        <v>708</v>
      </c>
      <c r="H69" s="102" t="s">
        <v>671</v>
      </c>
      <c r="I69" s="102">
        <v>0</v>
      </c>
      <c r="J69" s="102">
        <v>0</v>
      </c>
      <c r="K69" s="102">
        <v>0</v>
      </c>
      <c r="L69" s="102">
        <v>1</v>
      </c>
      <c r="M69" s="102">
        <v>1</v>
      </c>
      <c r="N69" s="102">
        <v>0</v>
      </c>
      <c r="O69" s="102">
        <v>1</v>
      </c>
      <c r="P69" s="102">
        <v>0</v>
      </c>
      <c r="Q69" s="190">
        <v>28.749323226854358</v>
      </c>
      <c r="R69" s="102" t="s">
        <v>705</v>
      </c>
      <c r="S69" s="102">
        <v>0</v>
      </c>
      <c r="T69" s="102">
        <v>0</v>
      </c>
      <c r="U69" s="102">
        <v>0.92</v>
      </c>
      <c r="V69" s="102">
        <v>0</v>
      </c>
      <c r="W69" s="102">
        <v>1</v>
      </c>
      <c r="X69" s="102">
        <v>209</v>
      </c>
      <c r="Y69" s="102">
        <v>8.73</v>
      </c>
      <c r="Z69" s="102">
        <v>1</v>
      </c>
      <c r="AA69" s="102">
        <v>1</v>
      </c>
      <c r="AB69" s="102">
        <v>0</v>
      </c>
      <c r="AC69" s="102">
        <v>14201</v>
      </c>
      <c r="AD69" s="190">
        <v>0.50150451354062187</v>
      </c>
      <c r="AE69" s="102">
        <v>0</v>
      </c>
      <c r="AF69" s="190">
        <v>2.0084086798114079E-2</v>
      </c>
      <c r="AG69" s="190">
        <v>0</v>
      </c>
    </row>
    <row r="70" spans="1:33" ht="30" x14ac:dyDescent="0.25">
      <c r="A70" s="102" t="s">
        <v>367</v>
      </c>
      <c r="B70" s="102" t="s">
        <v>549</v>
      </c>
      <c r="C70" s="102">
        <v>3366</v>
      </c>
      <c r="D70" s="102" t="s">
        <v>678</v>
      </c>
      <c r="E70" s="102" t="s">
        <v>664</v>
      </c>
      <c r="F70" s="102">
        <f t="shared" si="1"/>
        <v>0</v>
      </c>
      <c r="G70" s="191" t="s">
        <v>708</v>
      </c>
      <c r="H70" s="102" t="s">
        <v>671</v>
      </c>
      <c r="I70" s="102">
        <v>0</v>
      </c>
      <c r="J70" s="102">
        <v>0</v>
      </c>
      <c r="K70" s="102">
        <v>0</v>
      </c>
      <c r="L70" s="102">
        <v>1</v>
      </c>
      <c r="M70" s="102">
        <v>1</v>
      </c>
      <c r="N70" s="102">
        <v>0</v>
      </c>
      <c r="O70" s="102">
        <v>1</v>
      </c>
      <c r="P70" s="102">
        <v>0</v>
      </c>
      <c r="Q70" s="190">
        <v>21.297297297297291</v>
      </c>
      <c r="R70" s="102" t="s">
        <v>705</v>
      </c>
      <c r="S70" s="102">
        <v>0</v>
      </c>
      <c r="T70" s="102">
        <v>1</v>
      </c>
      <c r="U70" s="102">
        <v>0.88</v>
      </c>
      <c r="V70" s="102">
        <v>0</v>
      </c>
      <c r="W70" s="102">
        <v>1</v>
      </c>
      <c r="X70" s="102">
        <v>385</v>
      </c>
      <c r="Y70" s="102">
        <v>21.74</v>
      </c>
      <c r="Z70" s="102">
        <v>1</v>
      </c>
      <c r="AA70" s="102">
        <v>1</v>
      </c>
      <c r="AB70" s="102">
        <v>0</v>
      </c>
      <c r="AC70" s="102">
        <v>9691</v>
      </c>
      <c r="AD70" s="190">
        <v>0.25575447570332482</v>
      </c>
      <c r="AE70" s="102">
        <v>1</v>
      </c>
      <c r="AF70" s="190">
        <v>0.46643038047023289</v>
      </c>
      <c r="AG70" s="190">
        <v>0.7246376811594204</v>
      </c>
    </row>
    <row r="71" spans="1:33" ht="30" x14ac:dyDescent="0.25">
      <c r="A71" s="102" t="s">
        <v>368</v>
      </c>
      <c r="B71" s="102" t="s">
        <v>550</v>
      </c>
      <c r="C71" s="102">
        <v>3309</v>
      </c>
      <c r="D71" s="102" t="s">
        <v>678</v>
      </c>
      <c r="E71" s="102" t="s">
        <v>669</v>
      </c>
      <c r="F71" s="102">
        <f t="shared" si="1"/>
        <v>0</v>
      </c>
      <c r="G71" s="191" t="s">
        <v>708</v>
      </c>
      <c r="H71" s="102" t="s">
        <v>671</v>
      </c>
      <c r="I71" s="102">
        <v>0</v>
      </c>
      <c r="J71" s="102">
        <v>0</v>
      </c>
      <c r="K71" s="102">
        <v>0</v>
      </c>
      <c r="L71" s="102">
        <v>0</v>
      </c>
      <c r="M71" s="102">
        <v>1</v>
      </c>
      <c r="N71" s="102">
        <v>1</v>
      </c>
      <c r="O71" s="102">
        <v>1</v>
      </c>
      <c r="P71" s="102">
        <v>0</v>
      </c>
      <c r="Q71" s="190">
        <v>5.5839183152520775</v>
      </c>
      <c r="R71" s="102" t="s">
        <v>705</v>
      </c>
      <c r="S71" s="102">
        <v>0</v>
      </c>
      <c r="T71" s="102">
        <v>0</v>
      </c>
      <c r="U71" s="102">
        <v>0.74</v>
      </c>
      <c r="V71" s="102">
        <v>0</v>
      </c>
      <c r="W71" s="102">
        <v>1</v>
      </c>
      <c r="X71" s="102">
        <v>237</v>
      </c>
      <c r="Y71" s="102">
        <v>0.9</v>
      </c>
      <c r="Z71" s="102">
        <v>0</v>
      </c>
      <c r="AA71" s="102">
        <v>1</v>
      </c>
      <c r="AB71" s="102">
        <v>0</v>
      </c>
      <c r="AC71" s="102">
        <v>24953</v>
      </c>
      <c r="AD71" s="190">
        <v>0.31570639305445936</v>
      </c>
      <c r="AE71" s="102">
        <v>1</v>
      </c>
      <c r="AF71" s="190">
        <v>2.5802723474723812E-2</v>
      </c>
      <c r="AG71" s="190">
        <v>1.2345679012345678</v>
      </c>
    </row>
    <row r="72" spans="1:33" x14ac:dyDescent="0.25">
      <c r="A72" s="102" t="s">
        <v>369</v>
      </c>
      <c r="B72" s="102" t="s">
        <v>551</v>
      </c>
      <c r="C72" s="102">
        <v>2818</v>
      </c>
      <c r="D72" s="102" t="s">
        <v>678</v>
      </c>
      <c r="E72" s="102" t="s">
        <v>666</v>
      </c>
      <c r="F72" s="102">
        <f t="shared" si="1"/>
        <v>0</v>
      </c>
      <c r="G72" s="191" t="s">
        <v>709</v>
      </c>
      <c r="H72" s="102" t="s">
        <v>673</v>
      </c>
      <c r="I72" s="102">
        <v>0</v>
      </c>
      <c r="J72" s="102">
        <v>0</v>
      </c>
      <c r="K72" s="102">
        <v>0</v>
      </c>
      <c r="L72" s="102">
        <v>1</v>
      </c>
      <c r="M72" s="102">
        <v>1</v>
      </c>
      <c r="N72" s="102">
        <v>0</v>
      </c>
      <c r="O72" s="102">
        <v>0</v>
      </c>
      <c r="P72" s="102">
        <v>0</v>
      </c>
      <c r="Q72" s="190">
        <v>30.523390458545634</v>
      </c>
      <c r="R72" s="102" t="s">
        <v>705</v>
      </c>
      <c r="S72" s="102">
        <v>0</v>
      </c>
      <c r="T72" s="102">
        <v>1</v>
      </c>
      <c r="U72" s="102">
        <v>0.81</v>
      </c>
      <c r="V72" s="102">
        <v>0</v>
      </c>
      <c r="W72" s="102">
        <v>1</v>
      </c>
      <c r="X72" s="102">
        <v>292</v>
      </c>
      <c r="Y72" s="102">
        <v>7.21</v>
      </c>
      <c r="Z72" s="102">
        <v>1</v>
      </c>
      <c r="AA72" s="102">
        <v>1</v>
      </c>
      <c r="AB72" s="102">
        <v>0</v>
      </c>
      <c r="AC72" s="102">
        <v>10512</v>
      </c>
      <c r="AD72" s="190">
        <v>0.49382716049382719</v>
      </c>
      <c r="AE72" s="102">
        <v>1</v>
      </c>
      <c r="AF72" s="190">
        <v>0</v>
      </c>
      <c r="AG72" s="190">
        <v>1.5384615384615383</v>
      </c>
    </row>
    <row r="73" spans="1:33" ht="30" x14ac:dyDescent="0.25">
      <c r="A73" s="102" t="s">
        <v>370</v>
      </c>
      <c r="B73" s="102" t="s">
        <v>552</v>
      </c>
      <c r="C73" s="102">
        <v>1282</v>
      </c>
      <c r="D73" s="102" t="s">
        <v>678</v>
      </c>
      <c r="E73" s="102" t="s">
        <v>669</v>
      </c>
      <c r="F73" s="102">
        <f t="shared" si="1"/>
        <v>0</v>
      </c>
      <c r="G73" s="191" t="s">
        <v>708</v>
      </c>
      <c r="H73" s="102" t="s">
        <v>671</v>
      </c>
      <c r="I73" s="102">
        <v>0</v>
      </c>
      <c r="J73" s="102">
        <v>0</v>
      </c>
      <c r="K73" s="102">
        <v>0</v>
      </c>
      <c r="L73" s="102">
        <v>0</v>
      </c>
      <c r="M73" s="102">
        <v>0</v>
      </c>
      <c r="N73" s="102">
        <v>1</v>
      </c>
      <c r="O73" s="102">
        <v>1</v>
      </c>
      <c r="P73" s="102">
        <v>263</v>
      </c>
      <c r="Q73" s="190">
        <v>3.9740470397404692</v>
      </c>
      <c r="R73" s="102" t="s">
        <v>705</v>
      </c>
      <c r="S73" s="102">
        <v>0</v>
      </c>
      <c r="T73" s="102">
        <v>0</v>
      </c>
      <c r="U73" s="102">
        <v>0.78</v>
      </c>
      <c r="V73" s="102">
        <v>0</v>
      </c>
      <c r="W73" s="102">
        <v>0</v>
      </c>
      <c r="X73" s="102">
        <v>97</v>
      </c>
      <c r="Y73" s="102">
        <v>0.06</v>
      </c>
      <c r="Z73" s="102">
        <v>0</v>
      </c>
      <c r="AA73" s="102">
        <v>1</v>
      </c>
      <c r="AB73" s="102">
        <v>0</v>
      </c>
      <c r="AC73" s="102">
        <v>16281</v>
      </c>
      <c r="AD73" s="190">
        <v>0.50933786078098475</v>
      </c>
      <c r="AE73" s="102">
        <v>1</v>
      </c>
      <c r="AF73" s="190">
        <v>0</v>
      </c>
      <c r="AG73" s="190">
        <v>2.2222222222222223</v>
      </c>
    </row>
    <row r="74" spans="1:33" ht="30" x14ac:dyDescent="0.25">
      <c r="A74" s="102" t="s">
        <v>371</v>
      </c>
      <c r="B74" s="102" t="s">
        <v>553</v>
      </c>
      <c r="C74" s="102">
        <v>3610</v>
      </c>
      <c r="D74" s="102" t="s">
        <v>678</v>
      </c>
      <c r="E74" s="102" t="s">
        <v>669</v>
      </c>
      <c r="F74" s="102">
        <f t="shared" si="1"/>
        <v>0</v>
      </c>
      <c r="G74" s="191" t="s">
        <v>708</v>
      </c>
      <c r="H74" s="102" t="s">
        <v>671</v>
      </c>
      <c r="I74" s="102">
        <v>0</v>
      </c>
      <c r="J74" s="102">
        <v>0</v>
      </c>
      <c r="K74" s="102">
        <v>0</v>
      </c>
      <c r="L74" s="102">
        <v>0</v>
      </c>
      <c r="M74" s="102">
        <v>0</v>
      </c>
      <c r="N74" s="102">
        <v>1</v>
      </c>
      <c r="O74" s="102">
        <v>1</v>
      </c>
      <c r="P74" s="102">
        <v>65464</v>
      </c>
      <c r="Q74" s="190">
        <v>4.7895500725689288</v>
      </c>
      <c r="R74" s="102" t="s">
        <v>705</v>
      </c>
      <c r="S74" s="102">
        <v>0</v>
      </c>
      <c r="T74" s="102">
        <v>1</v>
      </c>
      <c r="U74" s="102">
        <v>0.76</v>
      </c>
      <c r="V74" s="102">
        <v>0</v>
      </c>
      <c r="W74" s="102">
        <v>1</v>
      </c>
      <c r="X74" s="102">
        <v>259</v>
      </c>
      <c r="Y74" s="102">
        <v>3.24</v>
      </c>
      <c r="Z74" s="102">
        <v>1</v>
      </c>
      <c r="AA74" s="102">
        <v>1</v>
      </c>
      <c r="AB74" s="102">
        <v>0</v>
      </c>
      <c r="AC74" s="102">
        <v>29188</v>
      </c>
      <c r="AD74" s="190">
        <v>0.44910179640718567</v>
      </c>
      <c r="AE74" s="102">
        <v>1</v>
      </c>
      <c r="AF74" s="190">
        <v>1.4198357992661776E-2</v>
      </c>
      <c r="AG74" s="190">
        <v>1.0638297872340425</v>
      </c>
    </row>
    <row r="75" spans="1:33" x14ac:dyDescent="0.25">
      <c r="A75" s="102" t="s">
        <v>372</v>
      </c>
      <c r="B75" s="102" t="s">
        <v>554</v>
      </c>
      <c r="C75" s="102">
        <v>1766</v>
      </c>
      <c r="D75" s="102" t="s">
        <v>678</v>
      </c>
      <c r="E75" s="102" t="s">
        <v>666</v>
      </c>
      <c r="F75" s="102">
        <f t="shared" si="1"/>
        <v>0</v>
      </c>
      <c r="G75" s="191" t="s">
        <v>709</v>
      </c>
      <c r="H75" s="102" t="s">
        <v>673</v>
      </c>
      <c r="I75" s="102">
        <v>0</v>
      </c>
      <c r="J75" s="102">
        <v>0</v>
      </c>
      <c r="K75" s="102">
        <v>0</v>
      </c>
      <c r="L75" s="102">
        <v>1</v>
      </c>
      <c r="M75" s="102">
        <v>1</v>
      </c>
      <c r="N75" s="102">
        <v>1</v>
      </c>
      <c r="O75" s="102">
        <v>1</v>
      </c>
      <c r="P75" s="102">
        <v>30743</v>
      </c>
      <c r="Q75" s="190">
        <v>10.099750623441409</v>
      </c>
      <c r="R75" s="102" t="s">
        <v>705</v>
      </c>
      <c r="S75" s="102">
        <v>0</v>
      </c>
      <c r="T75" s="102">
        <v>0</v>
      </c>
      <c r="U75" s="102">
        <v>0.72</v>
      </c>
      <c r="V75" s="102">
        <v>0</v>
      </c>
      <c r="W75" s="102">
        <v>0</v>
      </c>
      <c r="X75" s="102">
        <v>95</v>
      </c>
      <c r="Y75" s="102">
        <v>4.8099999999999996</v>
      </c>
      <c r="Z75" s="102">
        <v>1</v>
      </c>
      <c r="AA75" s="102">
        <v>1</v>
      </c>
      <c r="AB75" s="102">
        <v>1</v>
      </c>
      <c r="AC75" s="102">
        <v>14437</v>
      </c>
      <c r="AD75" s="190">
        <v>1.3605442176870748</v>
      </c>
      <c r="AE75" s="102">
        <v>2</v>
      </c>
      <c r="AF75" s="190">
        <v>0.33110600881134356</v>
      </c>
      <c r="AG75" s="190">
        <v>3.5087719298245617</v>
      </c>
    </row>
    <row r="76" spans="1:33" x14ac:dyDescent="0.25">
      <c r="A76" s="102" t="s">
        <v>373</v>
      </c>
      <c r="B76" s="102" t="s">
        <v>555</v>
      </c>
      <c r="C76" s="102">
        <v>456</v>
      </c>
      <c r="D76" s="102" t="s">
        <v>678</v>
      </c>
      <c r="E76" s="102" t="s">
        <v>666</v>
      </c>
      <c r="F76" s="102">
        <f t="shared" si="1"/>
        <v>0</v>
      </c>
      <c r="G76" s="191" t="s">
        <v>709</v>
      </c>
      <c r="H76" s="102" t="s">
        <v>673</v>
      </c>
      <c r="I76" s="102">
        <v>0</v>
      </c>
      <c r="J76" s="102">
        <v>0</v>
      </c>
      <c r="K76" s="102">
        <v>0</v>
      </c>
      <c r="L76" s="102">
        <v>1</v>
      </c>
      <c r="M76" s="102">
        <v>1</v>
      </c>
      <c r="N76" s="102">
        <v>1</v>
      </c>
      <c r="O76" s="102">
        <v>1</v>
      </c>
      <c r="P76" s="102">
        <v>1078</v>
      </c>
      <c r="Q76" s="190">
        <v>16.030534351145036</v>
      </c>
      <c r="R76" s="102" t="s">
        <v>705</v>
      </c>
      <c r="S76" s="102">
        <v>0</v>
      </c>
      <c r="T76" s="102">
        <v>0</v>
      </c>
      <c r="U76" s="102">
        <v>0.69</v>
      </c>
      <c r="V76" s="102">
        <v>0</v>
      </c>
      <c r="W76" s="102">
        <v>0</v>
      </c>
      <c r="X76" s="102">
        <v>38</v>
      </c>
      <c r="Y76" s="102">
        <v>0.56999999999999995</v>
      </c>
      <c r="Z76" s="102">
        <v>0</v>
      </c>
      <c r="AA76" s="102">
        <v>1</v>
      </c>
      <c r="AB76" s="102">
        <v>1</v>
      </c>
      <c r="AC76" s="102">
        <v>6686</v>
      </c>
      <c r="AD76" s="190">
        <v>0</v>
      </c>
      <c r="AE76" s="102">
        <v>4</v>
      </c>
      <c r="AF76" s="190">
        <v>0.29048372901336467</v>
      </c>
      <c r="AG76" s="190">
        <v>20</v>
      </c>
    </row>
    <row r="77" spans="1:33" x14ac:dyDescent="0.25">
      <c r="A77" s="102" t="s">
        <v>374</v>
      </c>
      <c r="B77" s="102" t="s">
        <v>556</v>
      </c>
      <c r="C77" s="102">
        <v>634</v>
      </c>
      <c r="D77" s="102" t="s">
        <v>678</v>
      </c>
      <c r="E77" s="102" t="s">
        <v>667</v>
      </c>
      <c r="F77" s="102">
        <f t="shared" si="1"/>
        <v>0</v>
      </c>
      <c r="G77" s="191" t="s">
        <v>711</v>
      </c>
      <c r="H77" s="102" t="s">
        <v>672</v>
      </c>
      <c r="I77" s="102">
        <v>0</v>
      </c>
      <c r="J77" s="102">
        <v>0</v>
      </c>
      <c r="K77" s="102">
        <v>1</v>
      </c>
      <c r="L77" s="102">
        <v>0</v>
      </c>
      <c r="M77" s="102">
        <v>0</v>
      </c>
      <c r="N77" s="102">
        <v>0</v>
      </c>
      <c r="O77" s="102">
        <v>0</v>
      </c>
      <c r="P77" s="102">
        <v>0</v>
      </c>
      <c r="Q77" s="190">
        <v>4.7933884297520706</v>
      </c>
      <c r="R77" s="102" t="s">
        <v>705</v>
      </c>
      <c r="S77" s="102">
        <v>0</v>
      </c>
      <c r="T77" s="102">
        <v>0</v>
      </c>
      <c r="U77" s="102">
        <v>0.55000000000000004</v>
      </c>
      <c r="V77" s="102">
        <v>1</v>
      </c>
      <c r="W77" s="102">
        <v>0</v>
      </c>
      <c r="X77" s="102">
        <v>35</v>
      </c>
      <c r="Y77" s="102">
        <v>0</v>
      </c>
      <c r="Z77" s="102">
        <v>0</v>
      </c>
      <c r="AA77" s="102">
        <v>1</v>
      </c>
      <c r="AB77" s="102">
        <v>0</v>
      </c>
      <c r="AC77" s="102">
        <v>3199</v>
      </c>
      <c r="AD77" s="190">
        <v>1.8315018315018314</v>
      </c>
      <c r="AE77" s="102">
        <v>0</v>
      </c>
      <c r="AF77" s="190">
        <v>0</v>
      </c>
      <c r="AG77" s="190">
        <v>0</v>
      </c>
    </row>
    <row r="78" spans="1:33" x14ac:dyDescent="0.25">
      <c r="A78" s="102" t="s">
        <v>375</v>
      </c>
      <c r="B78" s="102" t="s">
        <v>557</v>
      </c>
      <c r="C78" s="102">
        <v>325</v>
      </c>
      <c r="D78" s="102" t="s">
        <v>678</v>
      </c>
      <c r="E78" s="102" t="s">
        <v>667</v>
      </c>
      <c r="F78" s="102">
        <f t="shared" si="1"/>
        <v>0</v>
      </c>
      <c r="G78" s="191" t="s">
        <v>711</v>
      </c>
      <c r="H78" s="102" t="s">
        <v>672</v>
      </c>
      <c r="I78" s="102">
        <v>0</v>
      </c>
      <c r="J78" s="102">
        <v>0</v>
      </c>
      <c r="K78" s="102">
        <v>1</v>
      </c>
      <c r="L78" s="102">
        <v>0</v>
      </c>
      <c r="M78" s="102">
        <v>0</v>
      </c>
      <c r="N78" s="102">
        <v>0</v>
      </c>
      <c r="O78" s="102">
        <v>0</v>
      </c>
      <c r="P78" s="102">
        <v>0</v>
      </c>
      <c r="Q78" s="190">
        <v>9.0604026845637549</v>
      </c>
      <c r="R78" s="102" t="s">
        <v>705</v>
      </c>
      <c r="S78" s="102">
        <v>0</v>
      </c>
      <c r="T78" s="102">
        <v>0</v>
      </c>
      <c r="U78" s="102">
        <v>0.68</v>
      </c>
      <c r="V78" s="102">
        <v>0</v>
      </c>
      <c r="W78" s="102">
        <v>0</v>
      </c>
      <c r="X78" s="102">
        <v>18</v>
      </c>
      <c r="Y78" s="102">
        <v>8.7899999999999991</v>
      </c>
      <c r="Z78" s="102">
        <v>1</v>
      </c>
      <c r="AA78" s="102">
        <v>1</v>
      </c>
      <c r="AB78" s="102">
        <v>0</v>
      </c>
      <c r="AC78" s="102">
        <v>16382</v>
      </c>
      <c r="AD78" s="190">
        <v>0</v>
      </c>
      <c r="AE78" s="102">
        <v>0</v>
      </c>
      <c r="AF78" s="190">
        <v>0.21035089772399312</v>
      </c>
      <c r="AG78" s="190">
        <v>0</v>
      </c>
    </row>
    <row r="79" spans="1:33" x14ac:dyDescent="0.25">
      <c r="A79" s="102" t="s">
        <v>376</v>
      </c>
      <c r="B79" s="102" t="s">
        <v>558</v>
      </c>
      <c r="C79" s="102">
        <v>1895</v>
      </c>
      <c r="D79" s="102" t="s">
        <v>678</v>
      </c>
      <c r="E79" s="102" t="s">
        <v>664</v>
      </c>
      <c r="F79" s="102">
        <f t="shared" si="1"/>
        <v>0</v>
      </c>
      <c r="G79" s="191" t="s">
        <v>711</v>
      </c>
      <c r="H79" s="102" t="s">
        <v>672</v>
      </c>
      <c r="I79" s="102">
        <v>0</v>
      </c>
      <c r="J79" s="102">
        <v>0</v>
      </c>
      <c r="K79" s="102">
        <v>0</v>
      </c>
      <c r="L79" s="102">
        <v>1</v>
      </c>
      <c r="M79" s="102">
        <v>1</v>
      </c>
      <c r="N79" s="102">
        <v>1</v>
      </c>
      <c r="O79" s="102">
        <v>1</v>
      </c>
      <c r="P79" s="102">
        <v>0</v>
      </c>
      <c r="Q79" s="190">
        <v>3.8925438596491375</v>
      </c>
      <c r="R79" s="102" t="s">
        <v>705</v>
      </c>
      <c r="S79" s="102">
        <v>0</v>
      </c>
      <c r="T79" s="102">
        <v>0</v>
      </c>
      <c r="U79" s="102">
        <v>0.86</v>
      </c>
      <c r="V79" s="102">
        <v>0</v>
      </c>
      <c r="W79" s="102">
        <v>0</v>
      </c>
      <c r="X79" s="102">
        <v>135</v>
      </c>
      <c r="Y79" s="102">
        <v>-0.1</v>
      </c>
      <c r="Z79" s="102">
        <v>0</v>
      </c>
      <c r="AA79" s="102">
        <v>1</v>
      </c>
      <c r="AB79" s="102">
        <v>0</v>
      </c>
      <c r="AC79" s="102">
        <v>20491</v>
      </c>
      <c r="AD79" s="190">
        <v>0.86114101184068903</v>
      </c>
      <c r="AE79" s="102">
        <v>1</v>
      </c>
      <c r="AF79" s="190">
        <v>0.43809782516395607</v>
      </c>
      <c r="AG79" s="190">
        <v>1.3513513513513513</v>
      </c>
    </row>
    <row r="80" spans="1:33" x14ac:dyDescent="0.25">
      <c r="A80" s="102" t="s">
        <v>377</v>
      </c>
      <c r="B80" s="102" t="s">
        <v>559</v>
      </c>
      <c r="C80" s="102">
        <v>1239</v>
      </c>
      <c r="D80" s="102" t="s">
        <v>678</v>
      </c>
      <c r="E80" s="102" t="s">
        <v>666</v>
      </c>
      <c r="F80" s="102">
        <f t="shared" si="1"/>
        <v>0</v>
      </c>
      <c r="G80" s="191" t="s">
        <v>711</v>
      </c>
      <c r="H80" s="102" t="s">
        <v>672</v>
      </c>
      <c r="I80" s="102">
        <v>0</v>
      </c>
      <c r="J80" s="102">
        <v>0</v>
      </c>
      <c r="K80" s="102">
        <v>0</v>
      </c>
      <c r="L80" s="102">
        <v>0</v>
      </c>
      <c r="M80" s="102">
        <v>0</v>
      </c>
      <c r="N80" s="102">
        <v>0</v>
      </c>
      <c r="O80" s="102">
        <v>1</v>
      </c>
      <c r="P80" s="102">
        <v>0</v>
      </c>
      <c r="Q80" s="190">
        <v>-2.2870662460567814</v>
      </c>
      <c r="R80" s="102" t="s">
        <v>706</v>
      </c>
      <c r="S80" s="102">
        <v>1</v>
      </c>
      <c r="T80" s="102">
        <v>0</v>
      </c>
      <c r="U80" s="102">
        <v>0.53</v>
      </c>
      <c r="V80" s="102">
        <v>1</v>
      </c>
      <c r="W80" s="102">
        <v>0</v>
      </c>
      <c r="X80" s="102">
        <v>91</v>
      </c>
      <c r="Y80" s="102">
        <v>21.33</v>
      </c>
      <c r="Z80" s="102">
        <v>1</v>
      </c>
      <c r="AA80" s="102">
        <v>1</v>
      </c>
      <c r="AB80" s="102">
        <v>0</v>
      </c>
      <c r="AC80" s="102">
        <v>16402</v>
      </c>
      <c r="AD80" s="190">
        <v>0.37878787878787878</v>
      </c>
      <c r="AE80" s="102">
        <v>1</v>
      </c>
      <c r="AF80" s="190">
        <v>4.4506093088390858E-4</v>
      </c>
      <c r="AG80" s="190">
        <v>4</v>
      </c>
    </row>
    <row r="81" spans="1:33" ht="30" x14ac:dyDescent="0.25">
      <c r="A81" s="102" t="s">
        <v>378</v>
      </c>
      <c r="B81" s="102" t="s">
        <v>560</v>
      </c>
      <c r="C81" s="102">
        <v>6030</v>
      </c>
      <c r="D81" s="102" t="s">
        <v>680</v>
      </c>
      <c r="E81" s="102" t="s">
        <v>669</v>
      </c>
      <c r="F81" s="102">
        <f t="shared" si="1"/>
        <v>1</v>
      </c>
      <c r="G81" s="191" t="s">
        <v>708</v>
      </c>
      <c r="H81" s="102" t="s">
        <v>671</v>
      </c>
      <c r="I81" s="102">
        <v>0</v>
      </c>
      <c r="J81" s="102">
        <v>0</v>
      </c>
      <c r="K81" s="102">
        <v>0</v>
      </c>
      <c r="L81" s="102">
        <v>0</v>
      </c>
      <c r="M81" s="102">
        <v>0</v>
      </c>
      <c r="N81" s="102">
        <v>0</v>
      </c>
      <c r="O81" s="102">
        <v>0</v>
      </c>
      <c r="P81" s="102">
        <v>0</v>
      </c>
      <c r="Q81" s="190">
        <v>-1.131333005410724</v>
      </c>
      <c r="R81" s="102" t="s">
        <v>707</v>
      </c>
      <c r="S81" s="102">
        <v>0</v>
      </c>
      <c r="T81" s="102">
        <v>1</v>
      </c>
      <c r="U81" s="102">
        <v>0.72</v>
      </c>
      <c r="V81" s="102">
        <v>0</v>
      </c>
      <c r="W81" s="102">
        <v>1</v>
      </c>
      <c r="X81" s="102">
        <v>346</v>
      </c>
      <c r="Y81" s="102">
        <v>4.6399999999999997</v>
      </c>
      <c r="Z81" s="102">
        <v>1</v>
      </c>
      <c r="AA81" s="102">
        <v>1</v>
      </c>
      <c r="AB81" s="102">
        <v>0</v>
      </c>
      <c r="AC81" s="102">
        <v>67037</v>
      </c>
      <c r="AD81" s="190">
        <v>0.76599004212945232</v>
      </c>
      <c r="AE81" s="102">
        <v>22</v>
      </c>
      <c r="AF81" s="190">
        <v>1.2632652781888707</v>
      </c>
      <c r="AG81" s="190">
        <v>16.793893129770993</v>
      </c>
    </row>
    <row r="82" spans="1:33" x14ac:dyDescent="0.25">
      <c r="A82" s="102" t="s">
        <v>379</v>
      </c>
      <c r="B82" s="102" t="s">
        <v>561</v>
      </c>
      <c r="C82" s="102">
        <v>569</v>
      </c>
      <c r="D82" s="102" t="s">
        <v>678</v>
      </c>
      <c r="E82" s="102" t="s">
        <v>665</v>
      </c>
      <c r="F82" s="102">
        <f t="shared" si="1"/>
        <v>0</v>
      </c>
      <c r="G82" s="191" t="s">
        <v>711</v>
      </c>
      <c r="H82" s="102" t="s">
        <v>672</v>
      </c>
      <c r="I82" s="102">
        <v>0</v>
      </c>
      <c r="J82" s="102">
        <v>0</v>
      </c>
      <c r="K82" s="102">
        <v>1</v>
      </c>
      <c r="L82" s="102">
        <v>0</v>
      </c>
      <c r="M82" s="102">
        <v>0</v>
      </c>
      <c r="N82" s="102">
        <v>0</v>
      </c>
      <c r="O82" s="102">
        <v>0</v>
      </c>
      <c r="P82" s="102">
        <v>0</v>
      </c>
      <c r="Q82" s="190">
        <v>1.7889087656529483</v>
      </c>
      <c r="R82" s="102" t="s">
        <v>707</v>
      </c>
      <c r="S82" s="102">
        <v>0</v>
      </c>
      <c r="T82" s="102">
        <v>0</v>
      </c>
      <c r="U82" s="102">
        <v>0.55000000000000004</v>
      </c>
      <c r="V82" s="102">
        <v>1</v>
      </c>
      <c r="W82" s="102">
        <v>0</v>
      </c>
      <c r="X82" s="102">
        <v>33</v>
      </c>
      <c r="Y82" s="102">
        <v>0</v>
      </c>
      <c r="Z82" s="102">
        <v>0</v>
      </c>
      <c r="AA82" s="102">
        <v>0</v>
      </c>
      <c r="AB82" s="102">
        <v>0</v>
      </c>
      <c r="AC82" s="102">
        <v>11014</v>
      </c>
      <c r="AD82" s="190">
        <v>2.2421524663677128</v>
      </c>
      <c r="AE82" s="102">
        <v>1</v>
      </c>
      <c r="AF82" s="190">
        <v>0.24360824636587558</v>
      </c>
      <c r="AG82" s="190">
        <v>14.285714285714285</v>
      </c>
    </row>
    <row r="83" spans="1:33" ht="30" x14ac:dyDescent="0.25">
      <c r="A83" s="102" t="s">
        <v>380</v>
      </c>
      <c r="B83" s="102" t="s">
        <v>562</v>
      </c>
      <c r="C83" s="102">
        <v>1263</v>
      </c>
      <c r="D83" s="102" t="s">
        <v>678</v>
      </c>
      <c r="E83" s="102" t="s">
        <v>664</v>
      </c>
      <c r="F83" s="102">
        <f t="shared" si="1"/>
        <v>0</v>
      </c>
      <c r="G83" s="191" t="s">
        <v>710</v>
      </c>
      <c r="H83" s="102" t="s">
        <v>674</v>
      </c>
      <c r="I83" s="102">
        <v>0</v>
      </c>
      <c r="J83" s="102">
        <v>0</v>
      </c>
      <c r="K83" s="102">
        <v>0</v>
      </c>
      <c r="L83" s="102">
        <v>1</v>
      </c>
      <c r="M83" s="102">
        <v>1</v>
      </c>
      <c r="N83" s="102">
        <v>0</v>
      </c>
      <c r="O83" s="102">
        <v>0</v>
      </c>
      <c r="P83" s="102">
        <v>0</v>
      </c>
      <c r="Q83" s="190">
        <v>-0.70754716981132049</v>
      </c>
      <c r="R83" s="102" t="s">
        <v>707</v>
      </c>
      <c r="S83" s="102">
        <v>1</v>
      </c>
      <c r="T83" s="102">
        <v>0</v>
      </c>
      <c r="U83" s="102">
        <v>0.66</v>
      </c>
      <c r="V83" s="102">
        <v>0</v>
      </c>
      <c r="W83" s="102">
        <v>0</v>
      </c>
      <c r="X83" s="102">
        <v>98</v>
      </c>
      <c r="Y83" s="102">
        <v>1.93</v>
      </c>
      <c r="Z83" s="102">
        <v>0</v>
      </c>
      <c r="AA83" s="102">
        <v>1</v>
      </c>
      <c r="AB83" s="102">
        <v>0</v>
      </c>
      <c r="AC83" s="102">
        <v>11645</v>
      </c>
      <c r="AD83" s="190">
        <v>0.46801872074882994</v>
      </c>
      <c r="AE83" s="102">
        <v>0</v>
      </c>
      <c r="AF83" s="190">
        <v>6.3252704114728373E-2</v>
      </c>
      <c r="AG83" s="190">
        <v>0</v>
      </c>
    </row>
    <row r="84" spans="1:33" x14ac:dyDescent="0.25">
      <c r="A84" s="102" t="s">
        <v>381</v>
      </c>
      <c r="B84" s="102" t="s">
        <v>563</v>
      </c>
      <c r="C84" s="102">
        <v>10184</v>
      </c>
      <c r="D84" s="102" t="s">
        <v>680</v>
      </c>
      <c r="E84" s="102" t="s">
        <v>667</v>
      </c>
      <c r="F84" s="102">
        <f t="shared" si="1"/>
        <v>1</v>
      </c>
      <c r="G84" s="191" t="s">
        <v>711</v>
      </c>
      <c r="H84" s="102" t="s">
        <v>672</v>
      </c>
      <c r="I84" s="102">
        <v>0</v>
      </c>
      <c r="J84" s="102">
        <v>1</v>
      </c>
      <c r="K84" s="102">
        <v>1</v>
      </c>
      <c r="L84" s="102">
        <v>0</v>
      </c>
      <c r="M84" s="102">
        <v>0</v>
      </c>
      <c r="N84" s="102">
        <v>0</v>
      </c>
      <c r="O84" s="102">
        <v>1</v>
      </c>
      <c r="P84" s="102">
        <v>1940</v>
      </c>
      <c r="Q84" s="190">
        <v>-2.3679417122040149</v>
      </c>
      <c r="R84" s="102" t="s">
        <v>706</v>
      </c>
      <c r="S84" s="102">
        <v>0</v>
      </c>
      <c r="T84" s="102">
        <v>1</v>
      </c>
      <c r="U84" s="102">
        <v>0.74</v>
      </c>
      <c r="V84" s="102">
        <v>0</v>
      </c>
      <c r="W84" s="102">
        <v>1</v>
      </c>
      <c r="X84" s="102">
        <v>643</v>
      </c>
      <c r="Y84" s="102">
        <v>0.95</v>
      </c>
      <c r="Z84" s="102">
        <v>0</v>
      </c>
      <c r="AA84" s="102">
        <v>1</v>
      </c>
      <c r="AB84" s="102">
        <v>0</v>
      </c>
      <c r="AC84" s="102">
        <v>22445</v>
      </c>
      <c r="AD84" s="190">
        <v>0.9673202614379085</v>
      </c>
      <c r="AE84" s="102">
        <v>12</v>
      </c>
      <c r="AF84" s="190">
        <v>0.32980149214017418</v>
      </c>
      <c r="AG84" s="190">
        <v>3.9473684210526314</v>
      </c>
    </row>
    <row r="85" spans="1:33" ht="30" x14ac:dyDescent="0.25">
      <c r="A85" s="102" t="s">
        <v>382</v>
      </c>
      <c r="B85" s="102" t="s">
        <v>564</v>
      </c>
      <c r="C85" s="102">
        <v>586</v>
      </c>
      <c r="D85" s="102" t="s">
        <v>678</v>
      </c>
      <c r="E85" s="102" t="s">
        <v>669</v>
      </c>
      <c r="F85" s="102">
        <f t="shared" si="1"/>
        <v>0</v>
      </c>
      <c r="G85" s="191" t="s">
        <v>708</v>
      </c>
      <c r="H85" s="102" t="s">
        <v>671</v>
      </c>
      <c r="I85" s="102">
        <v>0</v>
      </c>
      <c r="J85" s="102">
        <v>0</v>
      </c>
      <c r="K85" s="102">
        <v>0</v>
      </c>
      <c r="L85" s="102">
        <v>0</v>
      </c>
      <c r="M85" s="102">
        <v>0</v>
      </c>
      <c r="N85" s="102">
        <v>0</v>
      </c>
      <c r="O85" s="102">
        <v>0</v>
      </c>
      <c r="P85" s="102">
        <v>0</v>
      </c>
      <c r="Q85" s="190">
        <v>11.832061068702288</v>
      </c>
      <c r="R85" s="102" t="s">
        <v>705</v>
      </c>
      <c r="S85" s="102">
        <v>0</v>
      </c>
      <c r="T85" s="102">
        <v>0</v>
      </c>
      <c r="U85" s="102">
        <v>0.75</v>
      </c>
      <c r="V85" s="102">
        <v>0</v>
      </c>
      <c r="W85" s="102">
        <v>0</v>
      </c>
      <c r="X85" s="102">
        <v>41</v>
      </c>
      <c r="Y85" s="102">
        <v>-0.01</v>
      </c>
      <c r="Z85" s="102">
        <v>0</v>
      </c>
      <c r="AA85" s="102">
        <v>1</v>
      </c>
      <c r="AB85" s="102">
        <v>0</v>
      </c>
      <c r="AC85" s="102">
        <v>11097</v>
      </c>
      <c r="AD85" s="190">
        <v>0.98039215686274506</v>
      </c>
      <c r="AE85" s="102">
        <v>0</v>
      </c>
      <c r="AF85" s="190">
        <v>0</v>
      </c>
      <c r="AG85" s="190">
        <v>0</v>
      </c>
    </row>
    <row r="86" spans="1:33" ht="30" x14ac:dyDescent="0.25">
      <c r="A86" s="102" t="s">
        <v>383</v>
      </c>
      <c r="B86" s="102" t="s">
        <v>565</v>
      </c>
      <c r="C86" s="102">
        <v>2205</v>
      </c>
      <c r="D86" s="102" t="s">
        <v>678</v>
      </c>
      <c r="E86" s="102" t="s">
        <v>669</v>
      </c>
      <c r="F86" s="102">
        <f t="shared" si="1"/>
        <v>0</v>
      </c>
      <c r="G86" s="191" t="s">
        <v>708</v>
      </c>
      <c r="H86" s="102" t="s">
        <v>671</v>
      </c>
      <c r="I86" s="102">
        <v>0</v>
      </c>
      <c r="J86" s="102">
        <v>0</v>
      </c>
      <c r="K86" s="102">
        <v>0</v>
      </c>
      <c r="L86" s="102">
        <v>0</v>
      </c>
      <c r="M86" s="102">
        <v>0</v>
      </c>
      <c r="N86" s="102">
        <v>1</v>
      </c>
      <c r="O86" s="102">
        <v>1</v>
      </c>
      <c r="P86" s="102">
        <v>0</v>
      </c>
      <c r="Q86" s="190">
        <v>-3.4165571616294272</v>
      </c>
      <c r="R86" s="102" t="s">
        <v>706</v>
      </c>
      <c r="S86" s="102">
        <v>0</v>
      </c>
      <c r="T86" s="102">
        <v>0</v>
      </c>
      <c r="U86" s="102">
        <v>0.71</v>
      </c>
      <c r="V86" s="102">
        <v>0</v>
      </c>
      <c r="W86" s="102">
        <v>1</v>
      </c>
      <c r="X86" s="102">
        <v>150</v>
      </c>
      <c r="Y86" s="102">
        <v>0</v>
      </c>
      <c r="Z86" s="102">
        <v>0</v>
      </c>
      <c r="AA86" s="102">
        <v>1</v>
      </c>
      <c r="AB86" s="102">
        <v>1</v>
      </c>
      <c r="AC86" s="102">
        <v>12367</v>
      </c>
      <c r="AD86" s="190">
        <v>0.38759689922480617</v>
      </c>
      <c r="AE86" s="102">
        <v>3</v>
      </c>
      <c r="AF86" s="190">
        <v>0.12390785881712459</v>
      </c>
      <c r="AG86" s="190">
        <v>5.5555555555555554</v>
      </c>
    </row>
    <row r="87" spans="1:33" x14ac:dyDescent="0.25">
      <c r="A87" s="102" t="s">
        <v>384</v>
      </c>
      <c r="B87" s="102" t="s">
        <v>566</v>
      </c>
      <c r="C87" s="102">
        <v>244</v>
      </c>
      <c r="D87" s="102" t="s">
        <v>678</v>
      </c>
      <c r="E87" s="102" t="s">
        <v>668</v>
      </c>
      <c r="F87" s="102">
        <f t="shared" si="1"/>
        <v>0</v>
      </c>
      <c r="G87" s="191" t="s">
        <v>711</v>
      </c>
      <c r="H87" s="102" t="s">
        <v>672</v>
      </c>
      <c r="I87" s="102">
        <v>1</v>
      </c>
      <c r="J87" s="102">
        <v>0</v>
      </c>
      <c r="K87" s="102">
        <v>1</v>
      </c>
      <c r="L87" s="102">
        <v>1</v>
      </c>
      <c r="M87" s="102">
        <v>1</v>
      </c>
      <c r="N87" s="102">
        <v>0</v>
      </c>
      <c r="O87" s="102">
        <v>1</v>
      </c>
      <c r="P87" s="102">
        <v>0</v>
      </c>
      <c r="Q87" s="190">
        <v>12.962962962962962</v>
      </c>
      <c r="R87" s="102" t="s">
        <v>705</v>
      </c>
      <c r="S87" s="102">
        <v>0</v>
      </c>
      <c r="T87" s="102">
        <v>0</v>
      </c>
      <c r="U87" s="102">
        <v>0.67</v>
      </c>
      <c r="V87" s="102">
        <v>0</v>
      </c>
      <c r="W87" s="102">
        <v>0</v>
      </c>
      <c r="X87" s="102">
        <v>17</v>
      </c>
      <c r="Y87" s="102">
        <v>0.15</v>
      </c>
      <c r="Z87" s="102">
        <v>0</v>
      </c>
      <c r="AA87" s="102">
        <v>1</v>
      </c>
      <c r="AB87" s="102">
        <v>0</v>
      </c>
      <c r="AC87" s="102">
        <v>9859</v>
      </c>
      <c r="AD87" s="190">
        <v>0.93457943925233644</v>
      </c>
      <c r="AE87" s="102">
        <v>1</v>
      </c>
      <c r="AF87" s="190">
        <v>0</v>
      </c>
      <c r="AG87" s="190">
        <v>12.5</v>
      </c>
    </row>
    <row r="88" spans="1:33" ht="30" x14ac:dyDescent="0.25">
      <c r="A88" s="102" t="s">
        <v>385</v>
      </c>
      <c r="B88" s="102" t="s">
        <v>567</v>
      </c>
      <c r="C88" s="102">
        <v>921</v>
      </c>
      <c r="D88" s="102" t="s">
        <v>678</v>
      </c>
      <c r="E88" s="102" t="s">
        <v>664</v>
      </c>
      <c r="F88" s="102">
        <f t="shared" si="1"/>
        <v>0</v>
      </c>
      <c r="G88" s="191" t="s">
        <v>708</v>
      </c>
      <c r="H88" s="102" t="s">
        <v>671</v>
      </c>
      <c r="I88" s="102">
        <v>0</v>
      </c>
      <c r="J88" s="102">
        <v>0</v>
      </c>
      <c r="K88" s="102">
        <v>0</v>
      </c>
      <c r="L88" s="102">
        <v>1</v>
      </c>
      <c r="M88" s="102">
        <v>1</v>
      </c>
      <c r="N88" s="102">
        <v>0</v>
      </c>
      <c r="O88" s="102">
        <v>1</v>
      </c>
      <c r="P88" s="102">
        <v>0</v>
      </c>
      <c r="Q88" s="190">
        <v>4.7781569965870432</v>
      </c>
      <c r="R88" s="102" t="s">
        <v>705</v>
      </c>
      <c r="S88" s="102">
        <v>0</v>
      </c>
      <c r="T88" s="102">
        <v>1</v>
      </c>
      <c r="U88" s="102">
        <v>0.84</v>
      </c>
      <c r="V88" s="102">
        <v>0</v>
      </c>
      <c r="W88" s="102">
        <v>0</v>
      </c>
      <c r="X88" s="102">
        <v>73</v>
      </c>
      <c r="Y88" s="102">
        <v>1.39</v>
      </c>
      <c r="Z88" s="102">
        <v>0</v>
      </c>
      <c r="AA88" s="102">
        <v>1</v>
      </c>
      <c r="AB88" s="102">
        <v>0</v>
      </c>
      <c r="AC88" s="102">
        <v>28242</v>
      </c>
      <c r="AD88" s="190">
        <v>2.192982456140351</v>
      </c>
      <c r="AE88" s="102">
        <v>0</v>
      </c>
      <c r="AF88" s="190">
        <v>0</v>
      </c>
      <c r="AG88" s="190">
        <v>0</v>
      </c>
    </row>
    <row r="89" spans="1:33" ht="30" x14ac:dyDescent="0.25">
      <c r="A89" s="102" t="s">
        <v>386</v>
      </c>
      <c r="B89" s="102" t="s">
        <v>568</v>
      </c>
      <c r="C89" s="102">
        <v>346</v>
      </c>
      <c r="D89" s="102" t="s">
        <v>678</v>
      </c>
      <c r="E89" s="102" t="s">
        <v>669</v>
      </c>
      <c r="F89" s="102">
        <f t="shared" si="1"/>
        <v>0</v>
      </c>
      <c r="G89" s="191" t="s">
        <v>708</v>
      </c>
      <c r="H89" s="102" t="s">
        <v>671</v>
      </c>
      <c r="I89" s="102">
        <v>0</v>
      </c>
      <c r="J89" s="102">
        <v>0</v>
      </c>
      <c r="K89" s="102">
        <v>0</v>
      </c>
      <c r="L89" s="102">
        <v>0</v>
      </c>
      <c r="M89" s="102">
        <v>0</v>
      </c>
      <c r="N89" s="102">
        <v>0</v>
      </c>
      <c r="O89" s="102">
        <v>1</v>
      </c>
      <c r="P89" s="102">
        <v>0</v>
      </c>
      <c r="Q89" s="190">
        <v>-1.1428571428571388</v>
      </c>
      <c r="R89" s="102" t="s">
        <v>707</v>
      </c>
      <c r="S89" s="102">
        <v>0</v>
      </c>
      <c r="T89" s="102">
        <v>1</v>
      </c>
      <c r="U89" s="102">
        <v>0.65</v>
      </c>
      <c r="V89" s="102">
        <v>1</v>
      </c>
      <c r="W89" s="102">
        <v>0</v>
      </c>
      <c r="X89" s="102">
        <v>24</v>
      </c>
      <c r="Y89" s="102">
        <v>0.55000000000000004</v>
      </c>
      <c r="Z89" s="102">
        <v>0</v>
      </c>
      <c r="AA89" s="102">
        <v>1</v>
      </c>
      <c r="AB89" s="102">
        <v>0</v>
      </c>
      <c r="AC89" s="102">
        <v>10173</v>
      </c>
      <c r="AD89" s="190">
        <v>0.7142857142857143</v>
      </c>
      <c r="AE89" s="102">
        <v>0</v>
      </c>
      <c r="AF89" s="190">
        <v>8.7436590038697859E-2</v>
      </c>
      <c r="AG89" s="190">
        <v>0</v>
      </c>
    </row>
    <row r="90" spans="1:33" x14ac:dyDescent="0.25">
      <c r="A90" s="102" t="s">
        <v>387</v>
      </c>
      <c r="B90" s="102" t="s">
        <v>569</v>
      </c>
      <c r="C90" s="102">
        <v>739</v>
      </c>
      <c r="D90" s="102" t="s">
        <v>678</v>
      </c>
      <c r="E90" s="102" t="s">
        <v>667</v>
      </c>
      <c r="F90" s="102">
        <f t="shared" si="1"/>
        <v>0</v>
      </c>
      <c r="G90" s="191" t="s">
        <v>711</v>
      </c>
      <c r="H90" s="102" t="s">
        <v>672</v>
      </c>
      <c r="I90" s="102">
        <v>0</v>
      </c>
      <c r="J90" s="102">
        <v>0</v>
      </c>
      <c r="K90" s="102">
        <v>1</v>
      </c>
      <c r="L90" s="102">
        <v>0</v>
      </c>
      <c r="M90" s="102">
        <v>0</v>
      </c>
      <c r="N90" s="102">
        <v>0</v>
      </c>
      <c r="O90" s="102">
        <v>0</v>
      </c>
      <c r="P90" s="102">
        <v>0</v>
      </c>
      <c r="Q90" s="190">
        <v>-0.93833780160858282</v>
      </c>
      <c r="R90" s="102" t="s">
        <v>707</v>
      </c>
      <c r="S90" s="102">
        <v>0</v>
      </c>
      <c r="T90" s="102">
        <v>0</v>
      </c>
      <c r="U90" s="102">
        <v>0.67</v>
      </c>
      <c r="V90" s="102">
        <v>0</v>
      </c>
      <c r="W90" s="102">
        <v>0</v>
      </c>
      <c r="X90" s="102">
        <v>34</v>
      </c>
      <c r="Y90" s="102">
        <v>0</v>
      </c>
      <c r="Z90" s="102">
        <v>0</v>
      </c>
      <c r="AA90" s="102">
        <v>1</v>
      </c>
      <c r="AB90" s="102">
        <v>0</v>
      </c>
      <c r="AC90" s="102">
        <v>19931</v>
      </c>
      <c r="AD90" s="190">
        <v>2.6666666666666665</v>
      </c>
      <c r="AE90" s="102">
        <v>1</v>
      </c>
      <c r="AF90" s="190">
        <v>0</v>
      </c>
      <c r="AG90" s="190">
        <v>8.3333333333333339</v>
      </c>
    </row>
    <row r="91" spans="1:33" x14ac:dyDescent="0.25">
      <c r="A91" s="102" t="s">
        <v>388</v>
      </c>
      <c r="B91" s="102" t="s">
        <v>570</v>
      </c>
      <c r="C91" s="102">
        <v>2729</v>
      </c>
      <c r="D91" s="102" t="s">
        <v>678</v>
      </c>
      <c r="E91" s="102" t="s">
        <v>665</v>
      </c>
      <c r="F91" s="102">
        <f t="shared" si="1"/>
        <v>0</v>
      </c>
      <c r="G91" s="191" t="s">
        <v>711</v>
      </c>
      <c r="H91" s="102" t="s">
        <v>672</v>
      </c>
      <c r="I91" s="102">
        <v>0</v>
      </c>
      <c r="J91" s="102">
        <v>0</v>
      </c>
      <c r="K91" s="102">
        <v>1</v>
      </c>
      <c r="L91" s="102">
        <v>1</v>
      </c>
      <c r="M91" s="102">
        <v>1</v>
      </c>
      <c r="N91" s="102">
        <v>0</v>
      </c>
      <c r="O91" s="102">
        <v>1</v>
      </c>
      <c r="P91" s="102">
        <v>0</v>
      </c>
      <c r="Q91" s="190">
        <v>3.2929598788796284</v>
      </c>
      <c r="R91" s="102" t="s">
        <v>705</v>
      </c>
      <c r="S91" s="102">
        <v>0</v>
      </c>
      <c r="T91" s="102">
        <v>0</v>
      </c>
      <c r="U91" s="102">
        <v>0.77</v>
      </c>
      <c r="V91" s="102">
        <v>0</v>
      </c>
      <c r="W91" s="102">
        <v>1</v>
      </c>
      <c r="X91" s="102">
        <v>187</v>
      </c>
      <c r="Y91" s="102">
        <v>0.03</v>
      </c>
      <c r="Z91" s="102">
        <v>0</v>
      </c>
      <c r="AA91" s="102">
        <v>1</v>
      </c>
      <c r="AB91" s="102">
        <v>0</v>
      </c>
      <c r="AC91" s="102">
        <v>19908</v>
      </c>
      <c r="AD91" s="190">
        <v>1.1876484560570071</v>
      </c>
      <c r="AE91" s="102">
        <v>4</v>
      </c>
      <c r="AF91" s="190">
        <v>7.3063183448799751E-2</v>
      </c>
      <c r="AG91" s="190">
        <v>6.0606060606060606</v>
      </c>
    </row>
    <row r="92" spans="1:33" x14ac:dyDescent="0.25">
      <c r="A92" s="102" t="s">
        <v>389</v>
      </c>
      <c r="B92" s="102" t="s">
        <v>571</v>
      </c>
      <c r="C92" s="102">
        <v>2125</v>
      </c>
      <c r="D92" s="102" t="s">
        <v>678</v>
      </c>
      <c r="E92" s="102" t="s">
        <v>666</v>
      </c>
      <c r="F92" s="102">
        <f t="shared" si="1"/>
        <v>0</v>
      </c>
      <c r="G92" s="191" t="s">
        <v>709</v>
      </c>
      <c r="H92" s="102" t="s">
        <v>673</v>
      </c>
      <c r="I92" s="102">
        <v>0</v>
      </c>
      <c r="J92" s="102">
        <v>0</v>
      </c>
      <c r="K92" s="102">
        <v>0</v>
      </c>
      <c r="L92" s="102">
        <v>1</v>
      </c>
      <c r="M92" s="102">
        <v>1</v>
      </c>
      <c r="N92" s="102">
        <v>0</v>
      </c>
      <c r="O92" s="102">
        <v>0</v>
      </c>
      <c r="P92" s="102">
        <v>2502</v>
      </c>
      <c r="Q92" s="190">
        <v>3.0053320407174056</v>
      </c>
      <c r="R92" s="102" t="s">
        <v>705</v>
      </c>
      <c r="S92" s="102">
        <v>0</v>
      </c>
      <c r="T92" s="102">
        <v>1</v>
      </c>
      <c r="U92" s="102">
        <v>0.71</v>
      </c>
      <c r="V92" s="102">
        <v>0</v>
      </c>
      <c r="W92" s="102">
        <v>0</v>
      </c>
      <c r="X92" s="102">
        <v>142</v>
      </c>
      <c r="Y92" s="102">
        <v>3.45</v>
      </c>
      <c r="Z92" s="102">
        <v>1</v>
      </c>
      <c r="AA92" s="102">
        <v>1</v>
      </c>
      <c r="AB92" s="102">
        <v>1</v>
      </c>
      <c r="AC92" s="102">
        <v>13759</v>
      </c>
      <c r="AD92" s="190">
        <v>0.15174506828528073</v>
      </c>
      <c r="AE92" s="102">
        <v>2</v>
      </c>
      <c r="AF92" s="190">
        <v>6.176420800328724E-2</v>
      </c>
      <c r="AG92" s="190">
        <v>2.2471910112359552</v>
      </c>
    </row>
    <row r="93" spans="1:33" x14ac:dyDescent="0.25">
      <c r="A93" s="102" t="s">
        <v>390</v>
      </c>
      <c r="B93" s="102" t="s">
        <v>572</v>
      </c>
      <c r="C93" s="102">
        <v>2347</v>
      </c>
      <c r="D93" s="102" t="s">
        <v>678</v>
      </c>
      <c r="E93" s="102" t="s">
        <v>664</v>
      </c>
      <c r="F93" s="102">
        <f t="shared" si="1"/>
        <v>0</v>
      </c>
      <c r="G93" s="191" t="s">
        <v>711</v>
      </c>
      <c r="H93" s="102" t="s">
        <v>672</v>
      </c>
      <c r="I93" s="102">
        <v>0</v>
      </c>
      <c r="J93" s="102">
        <v>0</v>
      </c>
      <c r="K93" s="102">
        <v>0</v>
      </c>
      <c r="L93" s="102">
        <v>1</v>
      </c>
      <c r="M93" s="102">
        <v>1</v>
      </c>
      <c r="N93" s="102">
        <v>0</v>
      </c>
      <c r="O93" s="102">
        <v>1</v>
      </c>
      <c r="P93" s="102">
        <v>0</v>
      </c>
      <c r="Q93" s="190">
        <v>11.074301940369153</v>
      </c>
      <c r="R93" s="102" t="s">
        <v>705</v>
      </c>
      <c r="S93" s="102">
        <v>0</v>
      </c>
      <c r="T93" s="102">
        <v>0</v>
      </c>
      <c r="U93" s="102">
        <v>0.76</v>
      </c>
      <c r="V93" s="102">
        <v>0</v>
      </c>
      <c r="W93" s="102">
        <v>1</v>
      </c>
      <c r="X93" s="102">
        <v>233</v>
      </c>
      <c r="Y93" s="102">
        <v>1.49</v>
      </c>
      <c r="Z93" s="102">
        <v>0</v>
      </c>
      <c r="AA93" s="102">
        <v>1</v>
      </c>
      <c r="AB93" s="102">
        <v>0</v>
      </c>
      <c r="AC93" s="102">
        <v>10689</v>
      </c>
      <c r="AD93" s="190">
        <v>0.4359197907585004</v>
      </c>
      <c r="AE93" s="102">
        <v>3</v>
      </c>
      <c r="AF93" s="190">
        <v>4.4227064069404264E-2</v>
      </c>
      <c r="AG93" s="190">
        <v>4.4117647058823524</v>
      </c>
    </row>
    <row r="94" spans="1:33" ht="30" x14ac:dyDescent="0.25">
      <c r="A94" s="102" t="s">
        <v>391</v>
      </c>
      <c r="B94" s="102" t="s">
        <v>573</v>
      </c>
      <c r="C94" s="102">
        <v>1310</v>
      </c>
      <c r="D94" s="102" t="s">
        <v>678</v>
      </c>
      <c r="E94" s="102" t="s">
        <v>664</v>
      </c>
      <c r="F94" s="102">
        <f t="shared" si="1"/>
        <v>0</v>
      </c>
      <c r="G94" s="191" t="s">
        <v>708</v>
      </c>
      <c r="H94" s="102" t="s">
        <v>671</v>
      </c>
      <c r="I94" s="102">
        <v>0</v>
      </c>
      <c r="J94" s="102">
        <v>0</v>
      </c>
      <c r="K94" s="102">
        <v>0</v>
      </c>
      <c r="L94" s="102">
        <v>1</v>
      </c>
      <c r="M94" s="102">
        <v>1</v>
      </c>
      <c r="N94" s="102">
        <v>1</v>
      </c>
      <c r="O94" s="102">
        <v>1</v>
      </c>
      <c r="P94" s="102">
        <v>0</v>
      </c>
      <c r="Q94" s="190">
        <v>6.2449310624493108</v>
      </c>
      <c r="R94" s="102" t="s">
        <v>705</v>
      </c>
      <c r="S94" s="102">
        <v>0</v>
      </c>
      <c r="T94" s="102">
        <v>0</v>
      </c>
      <c r="U94" s="102">
        <v>0.8</v>
      </c>
      <c r="V94" s="102">
        <v>0</v>
      </c>
      <c r="W94" s="102">
        <v>1</v>
      </c>
      <c r="X94" s="102">
        <v>97</v>
      </c>
      <c r="Y94" s="102">
        <v>7.75</v>
      </c>
      <c r="Z94" s="102">
        <v>1</v>
      </c>
      <c r="AA94" s="102">
        <v>1</v>
      </c>
      <c r="AB94" s="102">
        <v>1</v>
      </c>
      <c r="AC94" s="102">
        <v>132372</v>
      </c>
      <c r="AD94" s="190">
        <v>2.1276595744680851</v>
      </c>
      <c r="AE94" s="102">
        <v>2</v>
      </c>
      <c r="AF94" s="190">
        <v>0</v>
      </c>
      <c r="AG94" s="190">
        <v>6.25</v>
      </c>
    </row>
    <row r="95" spans="1:33" ht="30" x14ac:dyDescent="0.25">
      <c r="A95" s="102" t="s">
        <v>392</v>
      </c>
      <c r="B95" s="102" t="s">
        <v>574</v>
      </c>
      <c r="C95" s="102">
        <v>539</v>
      </c>
      <c r="D95" s="102" t="s">
        <v>678</v>
      </c>
      <c r="E95" s="102" t="s">
        <v>670</v>
      </c>
      <c r="F95" s="102">
        <f t="shared" si="1"/>
        <v>0</v>
      </c>
      <c r="G95" s="191" t="s">
        <v>710</v>
      </c>
      <c r="H95" s="102" t="s">
        <v>674</v>
      </c>
      <c r="I95" s="102">
        <v>0</v>
      </c>
      <c r="J95" s="102">
        <v>0</v>
      </c>
      <c r="K95" s="102">
        <v>1</v>
      </c>
      <c r="L95" s="102">
        <v>1</v>
      </c>
      <c r="M95" s="102">
        <v>1</v>
      </c>
      <c r="N95" s="102">
        <v>0</v>
      </c>
      <c r="O95" s="102">
        <v>0</v>
      </c>
      <c r="P95" s="102">
        <v>0</v>
      </c>
      <c r="Q95" s="190">
        <v>-6.2608695652173907</v>
      </c>
      <c r="R95" s="102" t="s">
        <v>706</v>
      </c>
      <c r="S95" s="102">
        <v>1</v>
      </c>
      <c r="T95" s="102">
        <v>0</v>
      </c>
      <c r="U95" s="102">
        <v>0.61</v>
      </c>
      <c r="V95" s="102">
        <v>1</v>
      </c>
      <c r="W95" s="102">
        <v>0</v>
      </c>
      <c r="X95" s="102">
        <v>31</v>
      </c>
      <c r="Y95" s="102">
        <v>-0.24</v>
      </c>
      <c r="Z95" s="102">
        <v>0</v>
      </c>
      <c r="AA95" s="102">
        <v>0</v>
      </c>
      <c r="AB95" s="102">
        <v>0</v>
      </c>
      <c r="AC95" s="102">
        <v>4779</v>
      </c>
      <c r="AD95" s="190">
        <v>0</v>
      </c>
      <c r="AE95" s="102">
        <v>3</v>
      </c>
      <c r="AF95" s="190">
        <v>0</v>
      </c>
      <c r="AG95" s="190">
        <v>42.857142857142854</v>
      </c>
    </row>
    <row r="96" spans="1:33" ht="30" x14ac:dyDescent="0.25">
      <c r="A96" s="102" t="s">
        <v>393</v>
      </c>
      <c r="B96" s="102" t="s">
        <v>575</v>
      </c>
      <c r="C96" s="102">
        <v>3395</v>
      </c>
      <c r="D96" s="102" t="s">
        <v>680</v>
      </c>
      <c r="E96" s="102" t="s">
        <v>669</v>
      </c>
      <c r="F96" s="102">
        <f t="shared" si="1"/>
        <v>0</v>
      </c>
      <c r="G96" s="191" t="s">
        <v>708</v>
      </c>
      <c r="H96" s="102" t="s">
        <v>671</v>
      </c>
      <c r="I96" s="102">
        <v>0</v>
      </c>
      <c r="J96" s="102">
        <v>0</v>
      </c>
      <c r="K96" s="102">
        <v>0</v>
      </c>
      <c r="L96" s="102">
        <v>1</v>
      </c>
      <c r="M96" s="102">
        <v>1</v>
      </c>
      <c r="N96" s="102">
        <v>1</v>
      </c>
      <c r="O96" s="102">
        <v>1</v>
      </c>
      <c r="P96" s="102">
        <v>440</v>
      </c>
      <c r="Q96" s="190">
        <v>5.140910498606388</v>
      </c>
      <c r="R96" s="102" t="s">
        <v>705</v>
      </c>
      <c r="S96" s="102">
        <v>0</v>
      </c>
      <c r="T96" s="102">
        <v>0</v>
      </c>
      <c r="U96" s="102">
        <v>0.77</v>
      </c>
      <c r="V96" s="102">
        <v>0</v>
      </c>
      <c r="W96" s="102">
        <v>1</v>
      </c>
      <c r="X96" s="102">
        <v>233</v>
      </c>
      <c r="Y96" s="102">
        <v>0.38</v>
      </c>
      <c r="Z96" s="102">
        <v>0</v>
      </c>
      <c r="AA96" s="102">
        <v>1</v>
      </c>
      <c r="AB96" s="102">
        <v>1</v>
      </c>
      <c r="AC96" s="102">
        <v>37914</v>
      </c>
      <c r="AD96" s="190">
        <v>0.51183621241202815</v>
      </c>
      <c r="AE96" s="102">
        <v>4</v>
      </c>
      <c r="AF96" s="190">
        <v>0.1800472480394292</v>
      </c>
      <c r="AG96" s="190">
        <v>7.2727272727272725</v>
      </c>
    </row>
    <row r="97" spans="1:33" ht="30" x14ac:dyDescent="0.25">
      <c r="A97" s="102" t="s">
        <v>394</v>
      </c>
      <c r="B97" s="102" t="s">
        <v>576</v>
      </c>
      <c r="C97" s="102">
        <v>2071</v>
      </c>
      <c r="D97" s="102" t="s">
        <v>678</v>
      </c>
      <c r="E97" s="102" t="s">
        <v>669</v>
      </c>
      <c r="F97" s="102">
        <f t="shared" si="1"/>
        <v>0</v>
      </c>
      <c r="G97" s="191" t="s">
        <v>708</v>
      </c>
      <c r="H97" s="102" t="s">
        <v>671</v>
      </c>
      <c r="I97" s="102">
        <v>0</v>
      </c>
      <c r="J97" s="102">
        <v>0</v>
      </c>
      <c r="K97" s="102">
        <v>0</v>
      </c>
      <c r="L97" s="102">
        <v>0</v>
      </c>
      <c r="M97" s="102">
        <v>1</v>
      </c>
      <c r="N97" s="102">
        <v>0</v>
      </c>
      <c r="O97" s="102">
        <v>1</v>
      </c>
      <c r="P97" s="102">
        <v>5760</v>
      </c>
      <c r="Q97" s="190">
        <v>12.738160043549257</v>
      </c>
      <c r="R97" s="102" t="s">
        <v>705</v>
      </c>
      <c r="S97" s="102">
        <v>0</v>
      </c>
      <c r="T97" s="102">
        <v>0</v>
      </c>
      <c r="U97" s="102">
        <v>0.74</v>
      </c>
      <c r="V97" s="102">
        <v>0</v>
      </c>
      <c r="W97" s="102">
        <v>0</v>
      </c>
      <c r="X97" s="102">
        <v>153</v>
      </c>
      <c r="Y97" s="102">
        <v>7.12</v>
      </c>
      <c r="Z97" s="102">
        <v>1</v>
      </c>
      <c r="AA97" s="102">
        <v>1</v>
      </c>
      <c r="AB97" s="102">
        <v>0</v>
      </c>
      <c r="AC97" s="102">
        <v>47650</v>
      </c>
      <c r="AD97" s="190">
        <v>0.59241706161137442</v>
      </c>
      <c r="AE97" s="102">
        <v>1</v>
      </c>
      <c r="AF97" s="190">
        <v>3.6179576825977533E-3</v>
      </c>
      <c r="AG97" s="190">
        <v>3.2258064516129035</v>
      </c>
    </row>
    <row r="98" spans="1:33" ht="30" x14ac:dyDescent="0.25">
      <c r="A98" s="102" t="s">
        <v>395</v>
      </c>
      <c r="B98" s="102" t="s">
        <v>577</v>
      </c>
      <c r="C98" s="102">
        <v>776</v>
      </c>
      <c r="D98" s="102" t="s">
        <v>678</v>
      </c>
      <c r="E98" s="102" t="s">
        <v>669</v>
      </c>
      <c r="F98" s="102">
        <f t="shared" si="1"/>
        <v>0</v>
      </c>
      <c r="G98" s="191" t="s">
        <v>708</v>
      </c>
      <c r="H98" s="102" t="s">
        <v>671</v>
      </c>
      <c r="I98" s="102">
        <v>0</v>
      </c>
      <c r="J98" s="102">
        <v>0</v>
      </c>
      <c r="K98" s="102">
        <v>0</v>
      </c>
      <c r="L98" s="102">
        <v>0</v>
      </c>
      <c r="M98" s="102">
        <v>0</v>
      </c>
      <c r="N98" s="102">
        <v>1</v>
      </c>
      <c r="O98" s="102">
        <v>1</v>
      </c>
      <c r="P98" s="102">
        <v>17357</v>
      </c>
      <c r="Q98" s="190">
        <v>9.1420534458509053</v>
      </c>
      <c r="R98" s="102" t="s">
        <v>705</v>
      </c>
      <c r="S98" s="102">
        <v>0</v>
      </c>
      <c r="T98" s="102">
        <v>1</v>
      </c>
      <c r="U98" s="102">
        <v>0.74</v>
      </c>
      <c r="V98" s="102">
        <v>0</v>
      </c>
      <c r="W98" s="102">
        <v>0</v>
      </c>
      <c r="X98" s="102">
        <v>49</v>
      </c>
      <c r="Y98" s="102">
        <v>8.8000000000000007</v>
      </c>
      <c r="Z98" s="102">
        <v>1</v>
      </c>
      <c r="AA98" s="102">
        <v>1</v>
      </c>
      <c r="AB98" s="102">
        <v>0</v>
      </c>
      <c r="AC98" s="102">
        <v>34695</v>
      </c>
      <c r="AD98" s="190">
        <v>0</v>
      </c>
      <c r="AE98" s="102">
        <v>1</v>
      </c>
      <c r="AF98" s="190">
        <v>2.2044752574403245E-2</v>
      </c>
      <c r="AG98" s="190">
        <v>3.0303030303030303</v>
      </c>
    </row>
    <row r="99" spans="1:33" x14ac:dyDescent="0.25">
      <c r="A99" s="102" t="s">
        <v>396</v>
      </c>
      <c r="B99" s="102" t="s">
        <v>578</v>
      </c>
      <c r="C99" s="102">
        <v>1442</v>
      </c>
      <c r="D99" s="102" t="s">
        <v>678</v>
      </c>
      <c r="E99" s="102" t="s">
        <v>666</v>
      </c>
      <c r="F99" s="102">
        <f t="shared" si="1"/>
        <v>0</v>
      </c>
      <c r="G99" s="191" t="s">
        <v>709</v>
      </c>
      <c r="H99" s="102" t="s">
        <v>673</v>
      </c>
      <c r="I99" s="102">
        <v>0</v>
      </c>
      <c r="J99" s="102">
        <v>0</v>
      </c>
      <c r="K99" s="102">
        <v>0</v>
      </c>
      <c r="L99" s="102">
        <v>0</v>
      </c>
      <c r="M99" s="102">
        <v>0</v>
      </c>
      <c r="N99" s="102">
        <v>0</v>
      </c>
      <c r="O99" s="102">
        <v>1</v>
      </c>
      <c r="P99" s="102">
        <v>0</v>
      </c>
      <c r="Q99" s="190">
        <v>2.4147727272727337</v>
      </c>
      <c r="R99" s="102" t="s">
        <v>705</v>
      </c>
      <c r="S99" s="102">
        <v>0</v>
      </c>
      <c r="T99" s="102">
        <v>0</v>
      </c>
      <c r="U99" s="102">
        <v>0.71</v>
      </c>
      <c r="V99" s="102">
        <v>0</v>
      </c>
      <c r="W99" s="102">
        <v>1</v>
      </c>
      <c r="X99" s="102">
        <v>81</v>
      </c>
      <c r="Y99" s="102">
        <v>2.82</v>
      </c>
      <c r="Z99" s="102">
        <v>1</v>
      </c>
      <c r="AA99" s="102">
        <v>1</v>
      </c>
      <c r="AB99" s="102">
        <v>0</v>
      </c>
      <c r="AC99" s="102">
        <v>144456</v>
      </c>
      <c r="AD99" s="190">
        <v>0.81967213114754101</v>
      </c>
      <c r="AE99" s="102">
        <v>2</v>
      </c>
      <c r="AF99" s="190">
        <v>6.6463261938716114E-2</v>
      </c>
      <c r="AG99" s="190">
        <v>6.0606060606060606</v>
      </c>
    </row>
    <row r="100" spans="1:33" x14ac:dyDescent="0.25">
      <c r="A100" s="102" t="s">
        <v>397</v>
      </c>
      <c r="B100" s="102" t="s">
        <v>579</v>
      </c>
      <c r="C100" s="102">
        <v>117</v>
      </c>
      <c r="D100" s="102" t="s">
        <v>678</v>
      </c>
      <c r="E100" s="102" t="s">
        <v>665</v>
      </c>
      <c r="F100" s="102">
        <f t="shared" si="1"/>
        <v>0</v>
      </c>
      <c r="G100" s="191" t="s">
        <v>711</v>
      </c>
      <c r="H100" s="102" t="s">
        <v>672</v>
      </c>
      <c r="I100" s="102">
        <v>0</v>
      </c>
      <c r="J100" s="102">
        <v>0</v>
      </c>
      <c r="K100" s="102">
        <v>1</v>
      </c>
      <c r="L100" s="102">
        <v>0</v>
      </c>
      <c r="M100" s="102">
        <v>0</v>
      </c>
      <c r="N100" s="102">
        <v>0</v>
      </c>
      <c r="O100" s="102">
        <v>0</v>
      </c>
      <c r="P100" s="102">
        <v>0</v>
      </c>
      <c r="Q100" s="190">
        <v>21.875</v>
      </c>
      <c r="R100" s="102" t="s">
        <v>705</v>
      </c>
      <c r="S100" s="102">
        <v>0</v>
      </c>
      <c r="T100" s="102">
        <v>0</v>
      </c>
      <c r="U100" s="102">
        <v>0.56999999999999995</v>
      </c>
      <c r="V100" s="102">
        <v>1</v>
      </c>
      <c r="W100" s="102">
        <v>0</v>
      </c>
      <c r="X100" s="102">
        <v>7</v>
      </c>
      <c r="Y100" s="102">
        <v>-0.06</v>
      </c>
      <c r="Z100" s="102">
        <v>0</v>
      </c>
      <c r="AA100" s="102">
        <v>1</v>
      </c>
      <c r="AB100" s="102">
        <v>0</v>
      </c>
      <c r="AC100" s="102">
        <v>9859</v>
      </c>
      <c r="AD100" s="190">
        <v>0</v>
      </c>
      <c r="AE100" s="102">
        <v>1</v>
      </c>
      <c r="AF100" s="190">
        <v>0.16643863518608276</v>
      </c>
      <c r="AG100" s="190">
        <v>12.5</v>
      </c>
    </row>
    <row r="101" spans="1:33" x14ac:dyDescent="0.25">
      <c r="A101" s="102" t="s">
        <v>398</v>
      </c>
      <c r="B101" s="102" t="s">
        <v>580</v>
      </c>
      <c r="C101" s="102">
        <v>396</v>
      </c>
      <c r="D101" s="102" t="s">
        <v>678</v>
      </c>
      <c r="E101" s="102" t="s">
        <v>665</v>
      </c>
      <c r="F101" s="102">
        <f t="shared" si="1"/>
        <v>0</v>
      </c>
      <c r="G101" s="191" t="s">
        <v>711</v>
      </c>
      <c r="H101" s="102" t="s">
        <v>672</v>
      </c>
      <c r="I101" s="102">
        <v>0</v>
      </c>
      <c r="J101" s="102">
        <v>0</v>
      </c>
      <c r="K101" s="102">
        <v>1</v>
      </c>
      <c r="L101" s="102">
        <v>0</v>
      </c>
      <c r="M101" s="102">
        <v>0</v>
      </c>
      <c r="N101" s="102">
        <v>0</v>
      </c>
      <c r="O101" s="102">
        <v>0</v>
      </c>
      <c r="P101" s="102">
        <v>0</v>
      </c>
      <c r="Q101" s="190">
        <v>-8.1206496519721441</v>
      </c>
      <c r="R101" s="102" t="s">
        <v>706</v>
      </c>
      <c r="S101" s="102">
        <v>0</v>
      </c>
      <c r="T101" s="102">
        <v>0</v>
      </c>
      <c r="U101" s="102">
        <v>0.56999999999999995</v>
      </c>
      <c r="V101" s="102">
        <v>1</v>
      </c>
      <c r="W101" s="102">
        <v>0</v>
      </c>
      <c r="X101" s="102">
        <v>27</v>
      </c>
      <c r="Y101" s="102">
        <v>0.03</v>
      </c>
      <c r="Z101" s="102">
        <v>0</v>
      </c>
      <c r="AA101" s="102">
        <v>1</v>
      </c>
      <c r="AB101" s="102">
        <v>0</v>
      </c>
      <c r="AC101" s="102">
        <v>28517</v>
      </c>
      <c r="AD101" s="190">
        <v>9</v>
      </c>
      <c r="AE101" s="102">
        <v>4</v>
      </c>
      <c r="AF101" s="190">
        <v>0.22267721857497016</v>
      </c>
      <c r="AG101" s="190">
        <v>44.444444444444443</v>
      </c>
    </row>
    <row r="102" spans="1:33" ht="30" x14ac:dyDescent="0.25">
      <c r="A102" s="102" t="s">
        <v>399</v>
      </c>
      <c r="B102" s="102" t="s">
        <v>581</v>
      </c>
      <c r="C102" s="102">
        <v>1977</v>
      </c>
      <c r="D102" s="102" t="s">
        <v>678</v>
      </c>
      <c r="E102" s="102" t="s">
        <v>669</v>
      </c>
      <c r="F102" s="102">
        <f t="shared" si="1"/>
        <v>0</v>
      </c>
      <c r="G102" s="191" t="s">
        <v>708</v>
      </c>
      <c r="H102" s="102" t="s">
        <v>671</v>
      </c>
      <c r="I102" s="102">
        <v>0</v>
      </c>
      <c r="J102" s="102">
        <v>0</v>
      </c>
      <c r="K102" s="102">
        <v>0</v>
      </c>
      <c r="L102" s="102">
        <v>0</v>
      </c>
      <c r="M102" s="102">
        <v>0</v>
      </c>
      <c r="N102" s="102">
        <v>0</v>
      </c>
      <c r="O102" s="102">
        <v>1</v>
      </c>
      <c r="P102" s="102">
        <v>0</v>
      </c>
      <c r="Q102" s="190">
        <v>7.7384196185285958</v>
      </c>
      <c r="R102" s="102" t="s">
        <v>705</v>
      </c>
      <c r="S102" s="102">
        <v>0</v>
      </c>
      <c r="T102" s="102">
        <v>0</v>
      </c>
      <c r="U102" s="102">
        <v>0.75</v>
      </c>
      <c r="V102" s="102">
        <v>0</v>
      </c>
      <c r="W102" s="102">
        <v>0</v>
      </c>
      <c r="X102" s="102">
        <v>158</v>
      </c>
      <c r="Y102" s="102">
        <v>2.2999999999999998</v>
      </c>
      <c r="Z102" s="102">
        <v>1</v>
      </c>
      <c r="AA102" s="102">
        <v>1</v>
      </c>
      <c r="AB102" s="102">
        <v>1</v>
      </c>
      <c r="AC102" s="102">
        <v>12221</v>
      </c>
      <c r="AD102" s="190">
        <v>0.38412291933418696</v>
      </c>
      <c r="AE102" s="102">
        <v>7</v>
      </c>
      <c r="AF102" s="190">
        <v>0.13825391141639798</v>
      </c>
      <c r="AG102" s="190">
        <v>12.727272727272727</v>
      </c>
    </row>
    <row r="103" spans="1:33" x14ac:dyDescent="0.25">
      <c r="A103" s="102" t="s">
        <v>400</v>
      </c>
      <c r="B103" s="102" t="s">
        <v>582</v>
      </c>
      <c r="C103" s="102">
        <v>491</v>
      </c>
      <c r="D103" s="102" t="s">
        <v>678</v>
      </c>
      <c r="E103" s="102" t="s">
        <v>665</v>
      </c>
      <c r="F103" s="102">
        <f t="shared" si="1"/>
        <v>0</v>
      </c>
      <c r="G103" s="191" t="s">
        <v>711</v>
      </c>
      <c r="H103" s="102" t="s">
        <v>672</v>
      </c>
      <c r="I103" s="102">
        <v>0</v>
      </c>
      <c r="J103" s="102">
        <v>0</v>
      </c>
      <c r="K103" s="102">
        <v>1</v>
      </c>
      <c r="L103" s="102">
        <v>0</v>
      </c>
      <c r="M103" s="102">
        <v>0</v>
      </c>
      <c r="N103" s="102">
        <v>0</v>
      </c>
      <c r="O103" s="102">
        <v>0</v>
      </c>
      <c r="P103" s="102">
        <v>0</v>
      </c>
      <c r="Q103" s="190">
        <v>2.7196652719665195</v>
      </c>
      <c r="R103" s="102" t="s">
        <v>705</v>
      </c>
      <c r="S103" s="102">
        <v>0</v>
      </c>
      <c r="T103" s="102">
        <v>0</v>
      </c>
      <c r="U103" s="102">
        <v>0.56999999999999995</v>
      </c>
      <c r="V103" s="102">
        <v>1</v>
      </c>
      <c r="W103" s="102">
        <v>0</v>
      </c>
      <c r="X103" s="102">
        <v>21</v>
      </c>
      <c r="Y103" s="102">
        <v>-0.52</v>
      </c>
      <c r="Z103" s="102">
        <v>0</v>
      </c>
      <c r="AA103" s="102">
        <v>1</v>
      </c>
      <c r="AB103" s="102">
        <v>0</v>
      </c>
      <c r="AC103" s="102">
        <v>9859</v>
      </c>
      <c r="AD103" s="190">
        <v>1.0471204188481675</v>
      </c>
      <c r="AE103" s="102">
        <v>1</v>
      </c>
      <c r="AF103" s="190">
        <v>0</v>
      </c>
      <c r="AG103" s="190">
        <v>7.6923076923076916</v>
      </c>
    </row>
    <row r="104" spans="1:33" ht="30" x14ac:dyDescent="0.25">
      <c r="A104" s="102" t="s">
        <v>401</v>
      </c>
      <c r="B104" s="102" t="s">
        <v>583</v>
      </c>
      <c r="C104" s="102">
        <v>653</v>
      </c>
      <c r="D104" s="102" t="s">
        <v>678</v>
      </c>
      <c r="E104" s="102" t="s">
        <v>669</v>
      </c>
      <c r="F104" s="102">
        <f t="shared" si="1"/>
        <v>0</v>
      </c>
      <c r="G104" s="191" t="s">
        <v>708</v>
      </c>
      <c r="H104" s="102" t="s">
        <v>671</v>
      </c>
      <c r="I104" s="102">
        <v>0</v>
      </c>
      <c r="J104" s="102">
        <v>0</v>
      </c>
      <c r="K104" s="102">
        <v>0</v>
      </c>
      <c r="L104" s="102">
        <v>1</v>
      </c>
      <c r="M104" s="102">
        <v>1</v>
      </c>
      <c r="N104" s="102">
        <v>0</v>
      </c>
      <c r="O104" s="102">
        <v>1</v>
      </c>
      <c r="P104" s="102">
        <v>274</v>
      </c>
      <c r="Q104" s="190">
        <v>10.677966101694906</v>
      </c>
      <c r="R104" s="102" t="s">
        <v>705</v>
      </c>
      <c r="S104" s="102">
        <v>0</v>
      </c>
      <c r="T104" s="102">
        <v>0</v>
      </c>
      <c r="U104" s="102">
        <v>0.74</v>
      </c>
      <c r="V104" s="102">
        <v>0</v>
      </c>
      <c r="W104" s="102">
        <v>0</v>
      </c>
      <c r="X104" s="102">
        <v>46</v>
      </c>
      <c r="Y104" s="102">
        <v>1.1100000000000001</v>
      </c>
      <c r="Z104" s="102">
        <v>0</v>
      </c>
      <c r="AA104" s="102">
        <v>1</v>
      </c>
      <c r="AB104" s="102">
        <v>1</v>
      </c>
      <c r="AC104" s="102">
        <v>8755</v>
      </c>
      <c r="AD104" s="190">
        <v>0.32786885245901642</v>
      </c>
      <c r="AE104" s="102">
        <v>1</v>
      </c>
      <c r="AF104" s="190">
        <v>0.45288531443625146</v>
      </c>
      <c r="AG104" s="190">
        <v>4.166666666666667</v>
      </c>
    </row>
    <row r="105" spans="1:33" x14ac:dyDescent="0.25">
      <c r="A105" s="102" t="s">
        <v>402</v>
      </c>
      <c r="B105" s="102" t="s">
        <v>584</v>
      </c>
      <c r="C105" s="102">
        <v>116</v>
      </c>
      <c r="D105" s="102" t="s">
        <v>678</v>
      </c>
      <c r="E105" s="102" t="s">
        <v>668</v>
      </c>
      <c r="F105" s="102">
        <f t="shared" si="1"/>
        <v>0</v>
      </c>
      <c r="G105" s="191" t="s">
        <v>711</v>
      </c>
      <c r="H105" s="102" t="s">
        <v>672</v>
      </c>
      <c r="I105" s="102">
        <v>1</v>
      </c>
      <c r="J105" s="102">
        <v>0</v>
      </c>
      <c r="K105" s="102">
        <v>1</v>
      </c>
      <c r="L105" s="102">
        <v>1</v>
      </c>
      <c r="M105" s="102">
        <v>1</v>
      </c>
      <c r="N105" s="102">
        <v>0</v>
      </c>
      <c r="O105" s="102">
        <v>1</v>
      </c>
      <c r="P105" s="102">
        <v>0</v>
      </c>
      <c r="Q105" s="190">
        <v>36.470588235294116</v>
      </c>
      <c r="R105" s="102" t="s">
        <v>705</v>
      </c>
      <c r="S105" s="102">
        <v>0</v>
      </c>
      <c r="T105" s="102">
        <v>0</v>
      </c>
      <c r="U105" s="102">
        <v>0.71</v>
      </c>
      <c r="V105" s="102">
        <v>0</v>
      </c>
      <c r="W105" s="102">
        <v>0</v>
      </c>
      <c r="X105" s="102">
        <v>8</v>
      </c>
      <c r="Y105" s="102">
        <v>-0.02</v>
      </c>
      <c r="Z105" s="102">
        <v>0</v>
      </c>
      <c r="AA105" s="102">
        <v>1</v>
      </c>
      <c r="AB105" s="102">
        <v>0</v>
      </c>
      <c r="AC105" s="102">
        <v>9859</v>
      </c>
      <c r="AD105" s="190">
        <v>2.0408163265306123</v>
      </c>
      <c r="AE105" s="102">
        <v>0</v>
      </c>
      <c r="AF105" s="190">
        <v>0.74484839360084809</v>
      </c>
      <c r="AG105" s="190">
        <v>0</v>
      </c>
    </row>
    <row r="106" spans="1:33" ht="30" x14ac:dyDescent="0.25">
      <c r="A106" s="102" t="s">
        <v>403</v>
      </c>
      <c r="B106" s="102" t="s">
        <v>585</v>
      </c>
      <c r="C106" s="102">
        <v>955</v>
      </c>
      <c r="D106" s="102" t="s">
        <v>678</v>
      </c>
      <c r="E106" s="102" t="s">
        <v>664</v>
      </c>
      <c r="F106" s="102">
        <f t="shared" si="1"/>
        <v>0</v>
      </c>
      <c r="G106" s="191" t="s">
        <v>710</v>
      </c>
      <c r="H106" s="102" t="s">
        <v>674</v>
      </c>
      <c r="I106" s="102">
        <v>0</v>
      </c>
      <c r="J106" s="102">
        <v>0</v>
      </c>
      <c r="K106" s="102">
        <v>0</v>
      </c>
      <c r="L106" s="102">
        <v>1</v>
      </c>
      <c r="M106" s="102">
        <v>1</v>
      </c>
      <c r="N106" s="102">
        <v>0</v>
      </c>
      <c r="O106" s="102">
        <v>0</v>
      </c>
      <c r="P106" s="102">
        <v>0</v>
      </c>
      <c r="Q106" s="190">
        <v>-1.0362694300518172</v>
      </c>
      <c r="R106" s="102" t="s">
        <v>707</v>
      </c>
      <c r="S106" s="102">
        <v>1</v>
      </c>
      <c r="T106" s="102">
        <v>0</v>
      </c>
      <c r="U106" s="102">
        <v>0.71</v>
      </c>
      <c r="V106" s="102">
        <v>0</v>
      </c>
      <c r="W106" s="102">
        <v>0</v>
      </c>
      <c r="X106" s="102">
        <v>71</v>
      </c>
      <c r="Y106" s="102">
        <v>1.32</v>
      </c>
      <c r="Z106" s="102">
        <v>0</v>
      </c>
      <c r="AA106" s="102">
        <v>1</v>
      </c>
      <c r="AB106" s="102">
        <v>0</v>
      </c>
      <c r="AC106" s="102">
        <v>12592</v>
      </c>
      <c r="AD106" s="190">
        <v>3.6402569593147751</v>
      </c>
      <c r="AE106" s="102">
        <v>5</v>
      </c>
      <c r="AF106" s="190">
        <v>0.94414419234245917</v>
      </c>
      <c r="AG106" s="190">
        <v>22.727272727272727</v>
      </c>
    </row>
    <row r="107" spans="1:33" x14ac:dyDescent="0.25">
      <c r="A107" s="102" t="s">
        <v>404</v>
      </c>
      <c r="B107" s="102" t="s">
        <v>586</v>
      </c>
      <c r="C107" s="102">
        <v>1013</v>
      </c>
      <c r="D107" s="102" t="s">
        <v>678</v>
      </c>
      <c r="E107" s="102" t="s">
        <v>667</v>
      </c>
      <c r="F107" s="102">
        <f t="shared" si="1"/>
        <v>0</v>
      </c>
      <c r="G107" s="191" t="s">
        <v>711</v>
      </c>
      <c r="H107" s="102" t="s">
        <v>672</v>
      </c>
      <c r="I107" s="102">
        <v>0</v>
      </c>
      <c r="J107" s="102">
        <v>0</v>
      </c>
      <c r="K107" s="102">
        <v>1</v>
      </c>
      <c r="L107" s="102">
        <v>0</v>
      </c>
      <c r="M107" s="102">
        <v>0</v>
      </c>
      <c r="N107" s="102">
        <v>0</v>
      </c>
      <c r="O107" s="102">
        <v>0</v>
      </c>
      <c r="P107" s="102">
        <v>0</v>
      </c>
      <c r="Q107" s="190">
        <v>-1.1707317073170742</v>
      </c>
      <c r="R107" s="102" t="s">
        <v>707</v>
      </c>
      <c r="S107" s="102">
        <v>0</v>
      </c>
      <c r="T107" s="102">
        <v>0</v>
      </c>
      <c r="U107" s="102">
        <v>0.66</v>
      </c>
      <c r="V107" s="102">
        <v>0</v>
      </c>
      <c r="W107" s="102">
        <v>0</v>
      </c>
      <c r="X107" s="102">
        <v>63</v>
      </c>
      <c r="Y107" s="102">
        <v>0.46</v>
      </c>
      <c r="Z107" s="102">
        <v>0</v>
      </c>
      <c r="AA107" s="102">
        <v>1</v>
      </c>
      <c r="AB107" s="102">
        <v>0</v>
      </c>
      <c r="AC107" s="102">
        <v>13519</v>
      </c>
      <c r="AD107" s="190">
        <v>2.4691358024691357</v>
      </c>
      <c r="AE107" s="102">
        <v>2</v>
      </c>
      <c r="AF107" s="190">
        <v>1.1608435424240551</v>
      </c>
      <c r="AG107" s="190">
        <v>9.5238095238095237</v>
      </c>
    </row>
    <row r="108" spans="1:33" x14ac:dyDescent="0.25">
      <c r="A108" s="102" t="s">
        <v>405</v>
      </c>
      <c r="B108" s="102" t="s">
        <v>587</v>
      </c>
      <c r="C108" s="102">
        <v>823</v>
      </c>
      <c r="D108" s="102" t="s">
        <v>678</v>
      </c>
      <c r="E108" s="102" t="s">
        <v>668</v>
      </c>
      <c r="F108" s="102">
        <f t="shared" si="1"/>
        <v>0</v>
      </c>
      <c r="G108" s="191" t="s">
        <v>711</v>
      </c>
      <c r="H108" s="102" t="s">
        <v>672</v>
      </c>
      <c r="I108" s="102">
        <v>1</v>
      </c>
      <c r="J108" s="102">
        <v>0</v>
      </c>
      <c r="K108" s="102">
        <v>1</v>
      </c>
      <c r="L108" s="102">
        <v>1</v>
      </c>
      <c r="M108" s="102">
        <v>1</v>
      </c>
      <c r="N108" s="102">
        <v>0</v>
      </c>
      <c r="O108" s="102">
        <v>1</v>
      </c>
      <c r="P108" s="102">
        <v>0</v>
      </c>
      <c r="Q108" s="190">
        <v>1.2300123001229935</v>
      </c>
      <c r="R108" s="102" t="s">
        <v>707</v>
      </c>
      <c r="S108" s="102">
        <v>1</v>
      </c>
      <c r="T108" s="102">
        <v>0</v>
      </c>
      <c r="U108" s="102">
        <v>0.67</v>
      </c>
      <c r="V108" s="102">
        <v>0</v>
      </c>
      <c r="W108" s="102">
        <v>0</v>
      </c>
      <c r="X108" s="102">
        <v>65</v>
      </c>
      <c r="Y108" s="102">
        <v>0.33</v>
      </c>
      <c r="Z108" s="102">
        <v>0</v>
      </c>
      <c r="AA108" s="102">
        <v>1</v>
      </c>
      <c r="AB108" s="102">
        <v>0</v>
      </c>
      <c r="AC108" s="102">
        <v>6118</v>
      </c>
      <c r="AD108" s="190">
        <v>0.50632911392405056</v>
      </c>
      <c r="AE108" s="102">
        <v>1</v>
      </c>
      <c r="AF108" s="190">
        <v>1.8336754641471241E-2</v>
      </c>
      <c r="AG108" s="190">
        <v>12.5</v>
      </c>
    </row>
    <row r="109" spans="1:33" x14ac:dyDescent="0.25">
      <c r="A109" s="102" t="s">
        <v>406</v>
      </c>
      <c r="B109" s="102" t="s">
        <v>243</v>
      </c>
      <c r="C109" s="102">
        <v>34218</v>
      </c>
      <c r="D109" s="102" t="s">
        <v>680</v>
      </c>
      <c r="E109" s="102" t="s">
        <v>669</v>
      </c>
      <c r="F109" s="102">
        <f t="shared" si="1"/>
        <v>1</v>
      </c>
      <c r="G109" s="191" t="s">
        <v>712</v>
      </c>
      <c r="H109" s="102" t="s">
        <v>676</v>
      </c>
      <c r="I109" s="102">
        <v>0</v>
      </c>
      <c r="J109" s="102">
        <v>1</v>
      </c>
      <c r="K109" s="102">
        <v>0</v>
      </c>
      <c r="L109" s="102">
        <v>0</v>
      </c>
      <c r="M109" s="102">
        <v>1</v>
      </c>
      <c r="N109" s="102">
        <v>1</v>
      </c>
      <c r="O109" s="102">
        <v>1</v>
      </c>
      <c r="P109" s="102">
        <v>67870</v>
      </c>
      <c r="Q109" s="190">
        <v>4.1453615777940058</v>
      </c>
      <c r="R109" s="102" t="s">
        <v>705</v>
      </c>
      <c r="S109" s="102">
        <v>0</v>
      </c>
      <c r="T109" s="102">
        <v>0</v>
      </c>
      <c r="U109" s="102">
        <v>0.86</v>
      </c>
      <c r="V109" s="102">
        <v>0</v>
      </c>
      <c r="W109" s="102">
        <v>1</v>
      </c>
      <c r="X109" s="102">
        <v>2010</v>
      </c>
      <c r="Y109" s="102">
        <v>3.05</v>
      </c>
      <c r="Z109" s="102">
        <v>1</v>
      </c>
      <c r="AA109" s="102">
        <v>1</v>
      </c>
      <c r="AB109" s="102">
        <v>1</v>
      </c>
      <c r="AC109" s="102">
        <v>56043</v>
      </c>
      <c r="AD109" s="190">
        <v>0.20499304487883446</v>
      </c>
      <c r="AE109" s="102">
        <v>40</v>
      </c>
      <c r="AF109" s="190">
        <v>0.12011822313174587</v>
      </c>
      <c r="AG109" s="190">
        <v>2.3543260741612717</v>
      </c>
    </row>
    <row r="110" spans="1:33" ht="30" x14ac:dyDescent="0.25">
      <c r="A110" s="102" t="s">
        <v>407</v>
      </c>
      <c r="B110" s="102" t="s">
        <v>588</v>
      </c>
      <c r="C110" s="102">
        <v>2484</v>
      </c>
      <c r="D110" s="102" t="s">
        <v>678</v>
      </c>
      <c r="E110" s="102" t="s">
        <v>664</v>
      </c>
      <c r="F110" s="102">
        <f t="shared" si="1"/>
        <v>0</v>
      </c>
      <c r="G110" s="191" t="s">
        <v>708</v>
      </c>
      <c r="H110" s="102" t="s">
        <v>671</v>
      </c>
      <c r="I110" s="102">
        <v>0</v>
      </c>
      <c r="J110" s="102">
        <v>0</v>
      </c>
      <c r="K110" s="102">
        <v>0</v>
      </c>
      <c r="L110" s="102">
        <v>1</v>
      </c>
      <c r="M110" s="102">
        <v>1</v>
      </c>
      <c r="N110" s="102">
        <v>0</v>
      </c>
      <c r="O110" s="102">
        <v>1</v>
      </c>
      <c r="P110" s="102">
        <v>0</v>
      </c>
      <c r="Q110" s="190">
        <v>4.2383550146873716</v>
      </c>
      <c r="R110" s="102" t="s">
        <v>705</v>
      </c>
      <c r="S110" s="102">
        <v>0</v>
      </c>
      <c r="T110" s="102">
        <v>0</v>
      </c>
      <c r="U110" s="102">
        <v>0.75</v>
      </c>
      <c r="V110" s="102">
        <v>0</v>
      </c>
      <c r="W110" s="102">
        <v>1</v>
      </c>
      <c r="X110" s="102">
        <v>210</v>
      </c>
      <c r="Y110" s="102">
        <v>0.62</v>
      </c>
      <c r="Z110" s="102">
        <v>0</v>
      </c>
      <c r="AA110" s="102">
        <v>1</v>
      </c>
      <c r="AB110" s="102">
        <v>0</v>
      </c>
      <c r="AC110" s="102">
        <v>9408</v>
      </c>
      <c r="AD110" s="190">
        <v>0.39777247414478917</v>
      </c>
      <c r="AE110" s="102">
        <v>3</v>
      </c>
      <c r="AF110" s="190">
        <v>0.107488843128116</v>
      </c>
      <c r="AG110" s="190">
        <v>6.6666666666666661</v>
      </c>
    </row>
    <row r="111" spans="1:33" ht="30" x14ac:dyDescent="0.25">
      <c r="A111" s="102" t="s">
        <v>408</v>
      </c>
      <c r="B111" s="102" t="s">
        <v>589</v>
      </c>
      <c r="C111" s="102">
        <v>1776</v>
      </c>
      <c r="D111" s="102" t="s">
        <v>678</v>
      </c>
      <c r="E111" s="102" t="s">
        <v>669</v>
      </c>
      <c r="F111" s="102">
        <f t="shared" si="1"/>
        <v>0</v>
      </c>
      <c r="G111" s="191" t="s">
        <v>708</v>
      </c>
      <c r="H111" s="102" t="s">
        <v>671</v>
      </c>
      <c r="I111" s="102">
        <v>0</v>
      </c>
      <c r="J111" s="102">
        <v>0</v>
      </c>
      <c r="K111" s="102">
        <v>0</v>
      </c>
      <c r="L111" s="102">
        <v>0</v>
      </c>
      <c r="M111" s="102">
        <v>1</v>
      </c>
      <c r="N111" s="102">
        <v>0</v>
      </c>
      <c r="O111" s="102">
        <v>1</v>
      </c>
      <c r="P111" s="102">
        <v>0</v>
      </c>
      <c r="Q111" s="190">
        <v>3.4965034965034931</v>
      </c>
      <c r="R111" s="102" t="s">
        <v>705</v>
      </c>
      <c r="S111" s="102">
        <v>0</v>
      </c>
      <c r="T111" s="102">
        <v>1</v>
      </c>
      <c r="U111" s="102">
        <v>0.79</v>
      </c>
      <c r="V111" s="102">
        <v>0</v>
      </c>
      <c r="W111" s="102">
        <v>1</v>
      </c>
      <c r="X111" s="102">
        <v>134</v>
      </c>
      <c r="Y111" s="102">
        <v>1.99</v>
      </c>
      <c r="Z111" s="102">
        <v>0</v>
      </c>
      <c r="AA111" s="102">
        <v>0</v>
      </c>
      <c r="AB111" s="102">
        <v>0</v>
      </c>
      <c r="AC111" s="102">
        <v>254980</v>
      </c>
      <c r="AD111" s="190">
        <v>0.51679586563307489</v>
      </c>
      <c r="AE111" s="102">
        <v>5</v>
      </c>
      <c r="AF111" s="190">
        <v>0.26824682300854835</v>
      </c>
      <c r="AG111" s="190">
        <v>16.129032258064516</v>
      </c>
    </row>
    <row r="112" spans="1:33" ht="30" x14ac:dyDescent="0.25">
      <c r="A112" s="102" t="s">
        <v>409</v>
      </c>
      <c r="B112" s="102" t="s">
        <v>590</v>
      </c>
      <c r="C112" s="102">
        <v>417</v>
      </c>
      <c r="D112" s="102" t="s">
        <v>678</v>
      </c>
      <c r="E112" s="102" t="s">
        <v>669</v>
      </c>
      <c r="F112" s="102">
        <f t="shared" si="1"/>
        <v>0</v>
      </c>
      <c r="G112" s="191" t="s">
        <v>708</v>
      </c>
      <c r="H112" s="102" t="s">
        <v>671</v>
      </c>
      <c r="I112" s="102">
        <v>0</v>
      </c>
      <c r="J112" s="102">
        <v>0</v>
      </c>
      <c r="K112" s="102">
        <v>0</v>
      </c>
      <c r="L112" s="102">
        <v>0</v>
      </c>
      <c r="M112" s="102">
        <v>1</v>
      </c>
      <c r="N112" s="102">
        <v>0</v>
      </c>
      <c r="O112" s="102">
        <v>1</v>
      </c>
      <c r="P112" s="102">
        <v>0</v>
      </c>
      <c r="Q112" s="190">
        <v>1.213592233009706</v>
      </c>
      <c r="R112" s="102" t="s">
        <v>707</v>
      </c>
      <c r="S112" s="102">
        <v>0</v>
      </c>
      <c r="T112" s="102">
        <v>0</v>
      </c>
      <c r="U112" s="102">
        <v>0.74</v>
      </c>
      <c r="V112" s="102">
        <v>0</v>
      </c>
      <c r="W112" s="102">
        <v>0</v>
      </c>
      <c r="X112" s="102">
        <v>25</v>
      </c>
      <c r="Y112" s="102">
        <v>0</v>
      </c>
      <c r="Z112" s="102">
        <v>0</v>
      </c>
      <c r="AA112" s="102">
        <v>0</v>
      </c>
      <c r="AB112" s="102">
        <v>0</v>
      </c>
      <c r="AC112" s="102">
        <v>106702</v>
      </c>
      <c r="AD112" s="190">
        <v>1.5384615384615385</v>
      </c>
      <c r="AE112" s="102">
        <v>1</v>
      </c>
      <c r="AF112" s="190">
        <v>0</v>
      </c>
      <c r="AG112" s="190">
        <v>5.8823529411764701</v>
      </c>
    </row>
    <row r="113" spans="1:33" ht="30" x14ac:dyDescent="0.25">
      <c r="A113" s="102" t="s">
        <v>410</v>
      </c>
      <c r="B113" s="102" t="s">
        <v>591</v>
      </c>
      <c r="C113" s="102">
        <v>1011</v>
      </c>
      <c r="D113" s="102" t="s">
        <v>678</v>
      </c>
      <c r="E113" s="102" t="s">
        <v>664</v>
      </c>
      <c r="F113" s="102">
        <f t="shared" si="1"/>
        <v>0</v>
      </c>
      <c r="G113" s="191" t="s">
        <v>708</v>
      </c>
      <c r="H113" s="102" t="s">
        <v>671</v>
      </c>
      <c r="I113" s="102">
        <v>0</v>
      </c>
      <c r="J113" s="102">
        <v>0</v>
      </c>
      <c r="K113" s="102">
        <v>0</v>
      </c>
      <c r="L113" s="102">
        <v>1</v>
      </c>
      <c r="M113" s="102">
        <v>1</v>
      </c>
      <c r="N113" s="102">
        <v>0</v>
      </c>
      <c r="O113" s="102">
        <v>1</v>
      </c>
      <c r="P113" s="102">
        <v>0</v>
      </c>
      <c r="Q113" s="190">
        <v>2.8484231943031517</v>
      </c>
      <c r="R113" s="102" t="s">
        <v>705</v>
      </c>
      <c r="S113" s="102">
        <v>0</v>
      </c>
      <c r="T113" s="102">
        <v>1</v>
      </c>
      <c r="U113" s="102">
        <v>0.8</v>
      </c>
      <c r="V113" s="102">
        <v>0</v>
      </c>
      <c r="W113" s="102">
        <v>1</v>
      </c>
      <c r="X113" s="102">
        <v>89</v>
      </c>
      <c r="Y113" s="102">
        <v>-0.01</v>
      </c>
      <c r="Z113" s="102">
        <v>0</v>
      </c>
      <c r="AA113" s="102">
        <v>1</v>
      </c>
      <c r="AB113" s="102">
        <v>0</v>
      </c>
      <c r="AC113" s="102">
        <v>9409</v>
      </c>
      <c r="AD113" s="190">
        <v>0.62630480167014613</v>
      </c>
      <c r="AE113" s="102">
        <v>2</v>
      </c>
      <c r="AF113" s="190">
        <v>0</v>
      </c>
      <c r="AG113" s="190">
        <v>6.0606060606060606</v>
      </c>
    </row>
    <row r="114" spans="1:33" x14ac:dyDescent="0.25">
      <c r="A114" s="102" t="s">
        <v>411</v>
      </c>
      <c r="B114" s="102" t="s">
        <v>592</v>
      </c>
      <c r="C114" s="102">
        <v>2395</v>
      </c>
      <c r="D114" s="102" t="s">
        <v>678</v>
      </c>
      <c r="E114" s="102" t="s">
        <v>666</v>
      </c>
      <c r="F114" s="102">
        <f t="shared" si="1"/>
        <v>0</v>
      </c>
      <c r="G114" s="191" t="s">
        <v>709</v>
      </c>
      <c r="H114" s="102" t="s">
        <v>673</v>
      </c>
      <c r="I114" s="102">
        <v>0</v>
      </c>
      <c r="J114" s="102">
        <v>0</v>
      </c>
      <c r="K114" s="102">
        <v>0</v>
      </c>
      <c r="L114" s="102">
        <v>1</v>
      </c>
      <c r="M114" s="102">
        <v>1</v>
      </c>
      <c r="N114" s="102">
        <v>1</v>
      </c>
      <c r="O114" s="102">
        <v>1</v>
      </c>
      <c r="P114" s="102">
        <v>8</v>
      </c>
      <c r="Q114" s="190">
        <v>13.88492629576794</v>
      </c>
      <c r="R114" s="102" t="s">
        <v>705</v>
      </c>
      <c r="S114" s="102">
        <v>0</v>
      </c>
      <c r="T114" s="102">
        <v>1</v>
      </c>
      <c r="U114" s="102">
        <v>0.71</v>
      </c>
      <c r="V114" s="102">
        <v>0</v>
      </c>
      <c r="W114" s="102">
        <v>1</v>
      </c>
      <c r="X114" s="102">
        <v>189</v>
      </c>
      <c r="Y114" s="102">
        <v>1.29</v>
      </c>
      <c r="Z114" s="102">
        <v>0</v>
      </c>
      <c r="AA114" s="102">
        <v>1</v>
      </c>
      <c r="AB114" s="102">
        <v>1</v>
      </c>
      <c r="AC114" s="102">
        <v>12508</v>
      </c>
      <c r="AD114" s="190">
        <v>0.6211180124223602</v>
      </c>
      <c r="AE114" s="102">
        <v>7</v>
      </c>
      <c r="AF114" s="190">
        <v>0.74592383635618043</v>
      </c>
      <c r="AG114" s="190">
        <v>8.75</v>
      </c>
    </row>
    <row r="115" spans="1:33" x14ac:dyDescent="0.25">
      <c r="A115" s="102" t="s">
        <v>412</v>
      </c>
      <c r="B115" s="102" t="s">
        <v>593</v>
      </c>
      <c r="C115" s="102">
        <v>1065</v>
      </c>
      <c r="D115" s="102" t="s">
        <v>678</v>
      </c>
      <c r="E115" s="102" t="s">
        <v>666</v>
      </c>
      <c r="F115" s="102">
        <f t="shared" si="1"/>
        <v>0</v>
      </c>
      <c r="G115" s="191" t="s">
        <v>709</v>
      </c>
      <c r="H115" s="102" t="s">
        <v>673</v>
      </c>
      <c r="I115" s="102">
        <v>0</v>
      </c>
      <c r="J115" s="102">
        <v>0</v>
      </c>
      <c r="K115" s="102">
        <v>0</v>
      </c>
      <c r="L115" s="102">
        <v>0</v>
      </c>
      <c r="M115" s="102">
        <v>0</v>
      </c>
      <c r="N115" s="102">
        <v>0</v>
      </c>
      <c r="O115" s="102">
        <v>1</v>
      </c>
      <c r="P115" s="102">
        <v>0</v>
      </c>
      <c r="Q115" s="190">
        <v>2.9980657640232096</v>
      </c>
      <c r="R115" s="102" t="s">
        <v>705</v>
      </c>
      <c r="S115" s="102">
        <v>0</v>
      </c>
      <c r="T115" s="102">
        <v>0</v>
      </c>
      <c r="U115" s="102">
        <v>0.65</v>
      </c>
      <c r="V115" s="102">
        <v>1</v>
      </c>
      <c r="W115" s="102">
        <v>1</v>
      </c>
      <c r="X115" s="102">
        <v>56</v>
      </c>
      <c r="Y115" s="102">
        <v>3.28</v>
      </c>
      <c r="Z115" s="102">
        <v>1</v>
      </c>
      <c r="AA115" s="102">
        <v>1</v>
      </c>
      <c r="AB115" s="102">
        <v>0</v>
      </c>
      <c r="AC115" s="102">
        <v>25785</v>
      </c>
      <c r="AD115" s="190">
        <v>0.83798882681564246</v>
      </c>
      <c r="AE115" s="102">
        <v>2</v>
      </c>
      <c r="AF115" s="190">
        <v>0.14906921024789313</v>
      </c>
      <c r="AG115" s="190">
        <v>16.666666666666668</v>
      </c>
    </row>
    <row r="116" spans="1:33" ht="30" x14ac:dyDescent="0.25">
      <c r="A116" s="102" t="s">
        <v>413</v>
      </c>
      <c r="B116" s="102" t="s">
        <v>594</v>
      </c>
      <c r="C116" s="102">
        <v>1800</v>
      </c>
      <c r="D116" s="102" t="s">
        <v>678</v>
      </c>
      <c r="E116" s="102" t="s">
        <v>664</v>
      </c>
      <c r="F116" s="102">
        <f t="shared" si="1"/>
        <v>0</v>
      </c>
      <c r="G116" s="191" t="s">
        <v>710</v>
      </c>
      <c r="H116" s="102" t="s">
        <v>674</v>
      </c>
      <c r="I116" s="102">
        <v>0</v>
      </c>
      <c r="J116" s="102">
        <v>0</v>
      </c>
      <c r="K116" s="102">
        <v>0</v>
      </c>
      <c r="L116" s="102">
        <v>1</v>
      </c>
      <c r="M116" s="102">
        <v>1</v>
      </c>
      <c r="N116" s="102">
        <v>0</v>
      </c>
      <c r="O116" s="102">
        <v>0</v>
      </c>
      <c r="P116" s="102">
        <v>0</v>
      </c>
      <c r="Q116" s="190">
        <v>1.9252548131370304</v>
      </c>
      <c r="R116" s="102" t="s">
        <v>707</v>
      </c>
      <c r="S116" s="102">
        <v>1</v>
      </c>
      <c r="T116" s="102">
        <v>1</v>
      </c>
      <c r="U116" s="102">
        <v>0.77</v>
      </c>
      <c r="V116" s="102">
        <v>0</v>
      </c>
      <c r="W116" s="102">
        <v>1</v>
      </c>
      <c r="X116" s="102">
        <v>132</v>
      </c>
      <c r="Y116" s="102">
        <v>10.220000000000001</v>
      </c>
      <c r="Z116" s="102">
        <v>1</v>
      </c>
      <c r="AA116" s="102">
        <v>1</v>
      </c>
      <c r="AB116" s="102">
        <v>1</v>
      </c>
      <c r="AC116" s="102">
        <v>15314</v>
      </c>
      <c r="AD116" s="190">
        <v>2.0810514786418399</v>
      </c>
      <c r="AE116" s="102">
        <v>6</v>
      </c>
      <c r="AF116" s="190">
        <v>0</v>
      </c>
      <c r="AG116" s="190">
        <v>16.666666666666668</v>
      </c>
    </row>
    <row r="117" spans="1:33" x14ac:dyDescent="0.25">
      <c r="A117" s="102" t="s">
        <v>414</v>
      </c>
      <c r="B117" s="102" t="s">
        <v>595</v>
      </c>
      <c r="C117" s="102">
        <v>194</v>
      </c>
      <c r="D117" s="102" t="s">
        <v>678</v>
      </c>
      <c r="E117" s="102" t="s">
        <v>666</v>
      </c>
      <c r="F117" s="102">
        <f t="shared" si="1"/>
        <v>0</v>
      </c>
      <c r="G117" s="191" t="s">
        <v>709</v>
      </c>
      <c r="H117" s="102" t="s">
        <v>673</v>
      </c>
      <c r="I117" s="102">
        <v>0</v>
      </c>
      <c r="J117" s="102">
        <v>0</v>
      </c>
      <c r="K117" s="102">
        <v>0</v>
      </c>
      <c r="L117" s="102">
        <v>0</v>
      </c>
      <c r="M117" s="102">
        <v>0</v>
      </c>
      <c r="N117" s="102">
        <v>0</v>
      </c>
      <c r="O117" s="102">
        <v>0</v>
      </c>
      <c r="P117" s="102">
        <v>0</v>
      </c>
      <c r="Q117" s="190">
        <v>-7.6190476190476204</v>
      </c>
      <c r="R117" s="102" t="s">
        <v>706</v>
      </c>
      <c r="S117" s="102">
        <v>0</v>
      </c>
      <c r="T117" s="102">
        <v>0</v>
      </c>
      <c r="U117" s="102">
        <v>0.5</v>
      </c>
      <c r="V117" s="102">
        <v>1</v>
      </c>
      <c r="W117" s="102">
        <v>0</v>
      </c>
      <c r="X117" s="102">
        <v>4</v>
      </c>
      <c r="Y117" s="102">
        <v>-0.17</v>
      </c>
      <c r="Z117" s="102">
        <v>0</v>
      </c>
      <c r="AA117" s="102">
        <v>1</v>
      </c>
      <c r="AB117" s="102">
        <v>0</v>
      </c>
      <c r="AC117" s="102">
        <v>9859</v>
      </c>
      <c r="AD117" s="190">
        <v>0</v>
      </c>
      <c r="AE117" s="102">
        <v>1</v>
      </c>
      <c r="AF117" s="190">
        <v>0.35036281780643724</v>
      </c>
      <c r="AG117" s="190">
        <v>33.333333333333336</v>
      </c>
    </row>
    <row r="118" spans="1:33" ht="30" x14ac:dyDescent="0.25">
      <c r="A118" s="102" t="s">
        <v>415</v>
      </c>
      <c r="B118" s="102" t="s">
        <v>596</v>
      </c>
      <c r="C118" s="102">
        <v>462</v>
      </c>
      <c r="D118" s="102" t="s">
        <v>678</v>
      </c>
      <c r="E118" s="102" t="s">
        <v>670</v>
      </c>
      <c r="F118" s="102">
        <f t="shared" si="1"/>
        <v>0</v>
      </c>
      <c r="G118" s="191" t="s">
        <v>710</v>
      </c>
      <c r="H118" s="102" t="s">
        <v>674</v>
      </c>
      <c r="I118" s="102">
        <v>0</v>
      </c>
      <c r="J118" s="102">
        <v>0</v>
      </c>
      <c r="K118" s="102">
        <v>1</v>
      </c>
      <c r="L118" s="102">
        <v>1</v>
      </c>
      <c r="M118" s="102">
        <v>1</v>
      </c>
      <c r="N118" s="102">
        <v>0</v>
      </c>
      <c r="O118" s="102">
        <v>0</v>
      </c>
      <c r="P118" s="102">
        <v>0</v>
      </c>
      <c r="Q118" s="190">
        <v>5.4794520547945211</v>
      </c>
      <c r="R118" s="102" t="s">
        <v>705</v>
      </c>
      <c r="S118" s="102">
        <v>0</v>
      </c>
      <c r="T118" s="102">
        <v>0</v>
      </c>
      <c r="U118" s="102">
        <v>0.71</v>
      </c>
      <c r="V118" s="102">
        <v>0</v>
      </c>
      <c r="W118" s="102">
        <v>1</v>
      </c>
      <c r="X118" s="102">
        <v>44</v>
      </c>
      <c r="Y118" s="102">
        <v>1.49</v>
      </c>
      <c r="Z118" s="102">
        <v>0</v>
      </c>
      <c r="AA118" s="102">
        <v>1</v>
      </c>
      <c r="AB118" s="102">
        <v>0</v>
      </c>
      <c r="AC118" s="102">
        <v>11571</v>
      </c>
      <c r="AD118" s="190">
        <v>0.46948356807511737</v>
      </c>
      <c r="AE118" s="102">
        <v>2</v>
      </c>
      <c r="AF118" s="190">
        <v>0</v>
      </c>
      <c r="AG118" s="190">
        <v>20</v>
      </c>
    </row>
    <row r="119" spans="1:33" ht="30" x14ac:dyDescent="0.25">
      <c r="A119" s="102" t="s">
        <v>416</v>
      </c>
      <c r="B119" s="102" t="s">
        <v>597</v>
      </c>
      <c r="C119" s="102">
        <v>4520</v>
      </c>
      <c r="D119" s="102" t="s">
        <v>678</v>
      </c>
      <c r="E119" s="102" t="s">
        <v>664</v>
      </c>
      <c r="F119" s="102">
        <f t="shared" si="1"/>
        <v>0</v>
      </c>
      <c r="G119" s="191" t="s">
        <v>710</v>
      </c>
      <c r="H119" s="102" t="s">
        <v>674</v>
      </c>
      <c r="I119" s="102">
        <v>0</v>
      </c>
      <c r="J119" s="102">
        <v>0</v>
      </c>
      <c r="K119" s="102">
        <v>0</v>
      </c>
      <c r="L119" s="102">
        <v>1</v>
      </c>
      <c r="M119" s="102">
        <v>1</v>
      </c>
      <c r="N119" s="102">
        <v>1</v>
      </c>
      <c r="O119" s="102">
        <v>1</v>
      </c>
      <c r="P119" s="102">
        <v>2670</v>
      </c>
      <c r="Q119" s="190">
        <v>3.3615367024925717</v>
      </c>
      <c r="R119" s="102" t="s">
        <v>705</v>
      </c>
      <c r="S119" s="102">
        <v>0</v>
      </c>
      <c r="T119" s="102">
        <v>0</v>
      </c>
      <c r="U119" s="102">
        <v>0.79</v>
      </c>
      <c r="V119" s="102">
        <v>0</v>
      </c>
      <c r="W119" s="102">
        <v>1</v>
      </c>
      <c r="X119" s="102">
        <v>307</v>
      </c>
      <c r="Y119" s="102">
        <v>6.81</v>
      </c>
      <c r="Z119" s="102">
        <v>1</v>
      </c>
      <c r="AA119" s="102">
        <v>1</v>
      </c>
      <c r="AB119" s="102">
        <v>0</v>
      </c>
      <c r="AC119" s="102">
        <v>21235</v>
      </c>
      <c r="AD119" s="190">
        <v>0.23651844843897823</v>
      </c>
      <c r="AE119" s="102">
        <v>3</v>
      </c>
      <c r="AF119" s="190">
        <v>0.10333242772105325</v>
      </c>
      <c r="AG119" s="190">
        <v>1.6666666666666665</v>
      </c>
    </row>
    <row r="120" spans="1:33" x14ac:dyDescent="0.25">
      <c r="A120" s="102" t="s">
        <v>417</v>
      </c>
      <c r="B120" s="102" t="s">
        <v>598</v>
      </c>
      <c r="C120" s="102">
        <v>861</v>
      </c>
      <c r="D120" s="102" t="s">
        <v>678</v>
      </c>
      <c r="E120" s="102" t="s">
        <v>667</v>
      </c>
      <c r="F120" s="102">
        <f t="shared" si="1"/>
        <v>0</v>
      </c>
      <c r="G120" s="191" t="s">
        <v>711</v>
      </c>
      <c r="H120" s="102" t="s">
        <v>672</v>
      </c>
      <c r="I120" s="102">
        <v>0</v>
      </c>
      <c r="J120" s="102">
        <v>0</v>
      </c>
      <c r="K120" s="102">
        <v>1</v>
      </c>
      <c r="L120" s="102">
        <v>0</v>
      </c>
      <c r="M120" s="102">
        <v>0</v>
      </c>
      <c r="N120" s="102">
        <v>0</v>
      </c>
      <c r="O120" s="102">
        <v>1</v>
      </c>
      <c r="P120" s="102">
        <v>0</v>
      </c>
      <c r="Q120" s="190">
        <v>0</v>
      </c>
      <c r="R120" s="102" t="s">
        <v>707</v>
      </c>
      <c r="S120" s="102">
        <v>0</v>
      </c>
      <c r="T120" s="102">
        <v>0</v>
      </c>
      <c r="U120" s="102">
        <v>0.67</v>
      </c>
      <c r="V120" s="102">
        <v>0</v>
      </c>
      <c r="W120" s="102">
        <v>0</v>
      </c>
      <c r="X120" s="102">
        <v>53</v>
      </c>
      <c r="Y120" s="102">
        <v>-0.16</v>
      </c>
      <c r="Z120" s="102">
        <v>0</v>
      </c>
      <c r="AA120" s="102">
        <v>1</v>
      </c>
      <c r="AB120" s="102">
        <v>0</v>
      </c>
      <c r="AC120" s="102">
        <v>9721</v>
      </c>
      <c r="AD120" s="190">
        <v>2.0527859237536656</v>
      </c>
      <c r="AE120" s="102">
        <v>3</v>
      </c>
      <c r="AF120" s="190">
        <v>0.29352261798076734</v>
      </c>
      <c r="AG120" s="190">
        <v>16.666666666666668</v>
      </c>
    </row>
    <row r="121" spans="1:33" ht="30" x14ac:dyDescent="0.25">
      <c r="A121" s="102" t="s">
        <v>418</v>
      </c>
      <c r="B121" s="102" t="s">
        <v>599</v>
      </c>
      <c r="C121" s="102">
        <v>3078</v>
      </c>
      <c r="D121" s="102" t="s">
        <v>678</v>
      </c>
      <c r="E121" s="102" t="s">
        <v>664</v>
      </c>
      <c r="F121" s="102">
        <f t="shared" si="1"/>
        <v>0</v>
      </c>
      <c r="G121" s="191" t="s">
        <v>708</v>
      </c>
      <c r="H121" s="102" t="s">
        <v>671</v>
      </c>
      <c r="I121" s="102">
        <v>0</v>
      </c>
      <c r="J121" s="102">
        <v>0</v>
      </c>
      <c r="K121" s="102">
        <v>0</v>
      </c>
      <c r="L121" s="102">
        <v>1</v>
      </c>
      <c r="M121" s="102">
        <v>1</v>
      </c>
      <c r="N121" s="102">
        <v>0</v>
      </c>
      <c r="O121" s="102">
        <v>1</v>
      </c>
      <c r="P121" s="102">
        <v>0</v>
      </c>
      <c r="Q121" s="190">
        <v>1.7184401850627893</v>
      </c>
      <c r="R121" s="102" t="s">
        <v>707</v>
      </c>
      <c r="S121" s="102">
        <v>0</v>
      </c>
      <c r="T121" s="102">
        <v>0</v>
      </c>
      <c r="U121" s="102">
        <v>0.8</v>
      </c>
      <c r="V121" s="102">
        <v>0</v>
      </c>
      <c r="W121" s="102">
        <v>1</v>
      </c>
      <c r="X121" s="102">
        <v>240</v>
      </c>
      <c r="Y121" s="102">
        <v>1.2</v>
      </c>
      <c r="Z121" s="102">
        <v>0</v>
      </c>
      <c r="AA121" s="102">
        <v>1</v>
      </c>
      <c r="AB121" s="102">
        <v>1</v>
      </c>
      <c r="AC121" s="102">
        <v>11436</v>
      </c>
      <c r="AD121" s="190">
        <v>0.27397260273972601</v>
      </c>
      <c r="AE121" s="102">
        <v>1</v>
      </c>
      <c r="AF121" s="190">
        <v>2.4802559006961083E-2</v>
      </c>
      <c r="AG121" s="190">
        <v>1.2658227848101264</v>
      </c>
    </row>
    <row r="122" spans="1:33" x14ac:dyDescent="0.25">
      <c r="A122" s="102" t="s">
        <v>419</v>
      </c>
      <c r="B122" s="102" t="s">
        <v>600</v>
      </c>
      <c r="C122" s="102">
        <v>371</v>
      </c>
      <c r="D122" s="102" t="s">
        <v>678</v>
      </c>
      <c r="E122" s="102" t="s">
        <v>665</v>
      </c>
      <c r="F122" s="102">
        <f t="shared" si="1"/>
        <v>0</v>
      </c>
      <c r="G122" s="191" t="s">
        <v>711</v>
      </c>
      <c r="H122" s="102" t="s">
        <v>672</v>
      </c>
      <c r="I122" s="102">
        <v>0</v>
      </c>
      <c r="J122" s="102">
        <v>0</v>
      </c>
      <c r="K122" s="102">
        <v>1</v>
      </c>
      <c r="L122" s="102">
        <v>0</v>
      </c>
      <c r="M122" s="102">
        <v>0</v>
      </c>
      <c r="N122" s="102">
        <v>0</v>
      </c>
      <c r="O122" s="102">
        <v>1</v>
      </c>
      <c r="P122" s="102">
        <v>0</v>
      </c>
      <c r="Q122" s="190">
        <v>-10.602409638554221</v>
      </c>
      <c r="R122" s="102" t="s">
        <v>706</v>
      </c>
      <c r="S122" s="102">
        <v>1</v>
      </c>
      <c r="T122" s="102">
        <v>0</v>
      </c>
      <c r="U122" s="102">
        <v>0.62</v>
      </c>
      <c r="V122" s="102">
        <v>1</v>
      </c>
      <c r="W122" s="102">
        <v>0</v>
      </c>
      <c r="X122" s="102">
        <v>27</v>
      </c>
      <c r="Y122" s="102">
        <v>-0.08</v>
      </c>
      <c r="Z122" s="102">
        <v>0</v>
      </c>
      <c r="AA122" s="102">
        <v>1</v>
      </c>
      <c r="AB122" s="102">
        <v>0</v>
      </c>
      <c r="AC122" s="102">
        <v>13044</v>
      </c>
      <c r="AD122" s="190">
        <v>2.4844720496894408</v>
      </c>
      <c r="AE122" s="102">
        <v>8</v>
      </c>
      <c r="AF122" s="190">
        <v>0.13981870961592774</v>
      </c>
      <c r="AG122" s="190">
        <v>53.333333333333336</v>
      </c>
    </row>
    <row r="123" spans="1:33" ht="30" x14ac:dyDescent="0.25">
      <c r="A123" s="102" t="s">
        <v>420</v>
      </c>
      <c r="B123" s="102" t="s">
        <v>601</v>
      </c>
      <c r="C123" s="102">
        <v>4106</v>
      </c>
      <c r="D123" s="102" t="s">
        <v>680</v>
      </c>
      <c r="E123" s="102" t="s">
        <v>670</v>
      </c>
      <c r="F123" s="102">
        <f t="shared" si="1"/>
        <v>0</v>
      </c>
      <c r="G123" s="191" t="s">
        <v>710</v>
      </c>
      <c r="H123" s="102" t="s">
        <v>674</v>
      </c>
      <c r="I123" s="102">
        <v>0</v>
      </c>
      <c r="J123" s="102">
        <v>0</v>
      </c>
      <c r="K123" s="102">
        <v>1</v>
      </c>
      <c r="L123" s="102">
        <v>1</v>
      </c>
      <c r="M123" s="102">
        <v>1</v>
      </c>
      <c r="N123" s="102">
        <v>1</v>
      </c>
      <c r="O123" s="102">
        <v>0</v>
      </c>
      <c r="P123" s="102">
        <v>5127</v>
      </c>
      <c r="Q123" s="190">
        <v>2.6243439140214946</v>
      </c>
      <c r="R123" s="102" t="s">
        <v>705</v>
      </c>
      <c r="S123" s="102">
        <v>0</v>
      </c>
      <c r="T123" s="102">
        <v>0</v>
      </c>
      <c r="U123" s="102">
        <v>0.75</v>
      </c>
      <c r="V123" s="102">
        <v>0</v>
      </c>
      <c r="W123" s="102">
        <v>1</v>
      </c>
      <c r="X123" s="102">
        <v>247</v>
      </c>
      <c r="Y123" s="102">
        <v>4.62</v>
      </c>
      <c r="Z123" s="102">
        <v>1</v>
      </c>
      <c r="AA123" s="102">
        <v>1</v>
      </c>
      <c r="AB123" s="102">
        <v>1</v>
      </c>
      <c r="AC123" s="102">
        <v>11882</v>
      </c>
      <c r="AD123" s="190">
        <v>0.31585596967782692</v>
      </c>
      <c r="AE123" s="102">
        <v>10</v>
      </c>
      <c r="AF123" s="190">
        <v>3.1540003116569473E-2</v>
      </c>
      <c r="AG123" s="190">
        <v>7.4626865671641784</v>
      </c>
    </row>
    <row r="124" spans="1:33" x14ac:dyDescent="0.25">
      <c r="A124" s="102" t="s">
        <v>421</v>
      </c>
      <c r="B124" s="102" t="s">
        <v>602</v>
      </c>
      <c r="C124" s="102">
        <v>388</v>
      </c>
      <c r="D124" s="102" t="s">
        <v>678</v>
      </c>
      <c r="E124" s="102" t="s">
        <v>665</v>
      </c>
      <c r="F124" s="102">
        <f t="shared" si="1"/>
        <v>0</v>
      </c>
      <c r="G124" s="191" t="s">
        <v>711</v>
      </c>
      <c r="H124" s="102" t="s">
        <v>672</v>
      </c>
      <c r="I124" s="102">
        <v>0</v>
      </c>
      <c r="J124" s="102">
        <v>0</v>
      </c>
      <c r="K124" s="102">
        <v>1</v>
      </c>
      <c r="L124" s="102">
        <v>0</v>
      </c>
      <c r="M124" s="102">
        <v>0</v>
      </c>
      <c r="N124" s="102">
        <v>0</v>
      </c>
      <c r="O124" s="102">
        <v>0</v>
      </c>
      <c r="P124" s="102">
        <v>0</v>
      </c>
      <c r="Q124" s="190">
        <v>1.0416666666666714</v>
      </c>
      <c r="R124" s="102" t="s">
        <v>707</v>
      </c>
      <c r="S124" s="102">
        <v>0</v>
      </c>
      <c r="T124" s="102">
        <v>0</v>
      </c>
      <c r="U124" s="102">
        <v>0.62</v>
      </c>
      <c r="V124" s="102">
        <v>1</v>
      </c>
      <c r="W124" s="102">
        <v>0</v>
      </c>
      <c r="X124" s="102">
        <v>21</v>
      </c>
      <c r="Y124" s="102">
        <v>-0.12</v>
      </c>
      <c r="Z124" s="102">
        <v>0</v>
      </c>
      <c r="AA124" s="102">
        <v>0</v>
      </c>
      <c r="AB124" s="102">
        <v>0</v>
      </c>
      <c r="AC124" s="102">
        <v>5186</v>
      </c>
      <c r="AD124" s="190">
        <v>0.55865921787709494</v>
      </c>
      <c r="AE124" s="102">
        <v>0</v>
      </c>
      <c r="AF124" s="190">
        <v>0</v>
      </c>
      <c r="AG124" s="190">
        <v>0</v>
      </c>
    </row>
    <row r="125" spans="1:33" ht="30" x14ac:dyDescent="0.25">
      <c r="A125" s="102" t="s">
        <v>422</v>
      </c>
      <c r="B125" s="102" t="s">
        <v>603</v>
      </c>
      <c r="C125" s="102">
        <v>1085</v>
      </c>
      <c r="D125" s="102" t="s">
        <v>678</v>
      </c>
      <c r="E125" s="102" t="s">
        <v>670</v>
      </c>
      <c r="F125" s="102">
        <f t="shared" si="1"/>
        <v>0</v>
      </c>
      <c r="G125" s="191" t="s">
        <v>710</v>
      </c>
      <c r="H125" s="102" t="s">
        <v>674</v>
      </c>
      <c r="I125" s="102">
        <v>0</v>
      </c>
      <c r="J125" s="102">
        <v>0</v>
      </c>
      <c r="K125" s="102">
        <v>1</v>
      </c>
      <c r="L125" s="102">
        <v>1</v>
      </c>
      <c r="M125" s="102">
        <v>1</v>
      </c>
      <c r="N125" s="102">
        <v>0</v>
      </c>
      <c r="O125" s="102">
        <v>1</v>
      </c>
      <c r="P125" s="102">
        <v>0</v>
      </c>
      <c r="Q125" s="190">
        <v>4.7297297297297405</v>
      </c>
      <c r="R125" s="102" t="s">
        <v>705</v>
      </c>
      <c r="S125" s="102">
        <v>0</v>
      </c>
      <c r="T125" s="102">
        <v>0</v>
      </c>
      <c r="U125" s="102">
        <v>0.69</v>
      </c>
      <c r="V125" s="102">
        <v>0</v>
      </c>
      <c r="W125" s="102">
        <v>1</v>
      </c>
      <c r="X125" s="102">
        <v>74</v>
      </c>
      <c r="Y125" s="102">
        <v>0.28000000000000003</v>
      </c>
      <c r="Z125" s="102">
        <v>0</v>
      </c>
      <c r="AA125" s="102">
        <v>1</v>
      </c>
      <c r="AB125" s="102">
        <v>0</v>
      </c>
      <c r="AC125" s="102">
        <v>7046</v>
      </c>
      <c r="AD125" s="190">
        <v>0.58939096267190572</v>
      </c>
      <c r="AE125" s="102">
        <v>2</v>
      </c>
      <c r="AF125" s="190">
        <v>0.45072113799662622</v>
      </c>
      <c r="AG125" s="190">
        <v>6.4516129032258069</v>
      </c>
    </row>
    <row r="126" spans="1:33" ht="30" x14ac:dyDescent="0.25">
      <c r="A126" s="102" t="s">
        <v>423</v>
      </c>
      <c r="B126" s="102" t="s">
        <v>604</v>
      </c>
      <c r="C126" s="102">
        <v>2512</v>
      </c>
      <c r="D126" s="102" t="s">
        <v>678</v>
      </c>
      <c r="E126" s="102" t="s">
        <v>664</v>
      </c>
      <c r="F126" s="102">
        <f t="shared" si="1"/>
        <v>0</v>
      </c>
      <c r="G126" s="191" t="s">
        <v>710</v>
      </c>
      <c r="H126" s="102" t="s">
        <v>674</v>
      </c>
      <c r="I126" s="102">
        <v>0</v>
      </c>
      <c r="J126" s="102">
        <v>0</v>
      </c>
      <c r="K126" s="102">
        <v>0</v>
      </c>
      <c r="L126" s="102">
        <v>1</v>
      </c>
      <c r="M126" s="102">
        <v>1</v>
      </c>
      <c r="N126" s="102">
        <v>0</v>
      </c>
      <c r="O126" s="102">
        <v>0</v>
      </c>
      <c r="P126" s="102">
        <v>789</v>
      </c>
      <c r="Q126" s="190">
        <v>7.1215351812366805</v>
      </c>
      <c r="R126" s="102" t="s">
        <v>705</v>
      </c>
      <c r="S126" s="102">
        <v>0</v>
      </c>
      <c r="T126" s="102">
        <v>0</v>
      </c>
      <c r="U126" s="102">
        <v>0.74</v>
      </c>
      <c r="V126" s="102">
        <v>0</v>
      </c>
      <c r="W126" s="102">
        <v>0</v>
      </c>
      <c r="X126" s="102">
        <v>217</v>
      </c>
      <c r="Y126" s="102">
        <v>1.82</v>
      </c>
      <c r="Z126" s="102">
        <v>0</v>
      </c>
      <c r="AA126" s="102">
        <v>0</v>
      </c>
      <c r="AB126" s="102">
        <v>0</v>
      </c>
      <c r="AC126" s="102">
        <v>13554</v>
      </c>
      <c r="AD126" s="190">
        <v>0.70477682067345337</v>
      </c>
      <c r="AE126" s="102">
        <v>3</v>
      </c>
      <c r="AF126" s="190">
        <v>0.20257381566397151</v>
      </c>
      <c r="AG126" s="190">
        <v>4.918032786885246</v>
      </c>
    </row>
    <row r="127" spans="1:33" x14ac:dyDescent="0.25">
      <c r="A127" s="102" t="s">
        <v>424</v>
      </c>
      <c r="B127" s="102" t="s">
        <v>605</v>
      </c>
      <c r="C127" s="102">
        <v>1490</v>
      </c>
      <c r="D127" s="102" t="s">
        <v>678</v>
      </c>
      <c r="E127" s="102" t="s">
        <v>666</v>
      </c>
      <c r="F127" s="102">
        <f t="shared" si="1"/>
        <v>0</v>
      </c>
      <c r="G127" s="191" t="s">
        <v>709</v>
      </c>
      <c r="H127" s="102" t="s">
        <v>673</v>
      </c>
      <c r="I127" s="102">
        <v>0</v>
      </c>
      <c r="J127" s="102">
        <v>0</v>
      </c>
      <c r="K127" s="102">
        <v>0</v>
      </c>
      <c r="L127" s="102">
        <v>1</v>
      </c>
      <c r="M127" s="102">
        <v>1</v>
      </c>
      <c r="N127" s="102">
        <v>0</v>
      </c>
      <c r="O127" s="102">
        <v>0</v>
      </c>
      <c r="P127" s="102">
        <v>0</v>
      </c>
      <c r="Q127" s="190">
        <v>3.9051603905160448</v>
      </c>
      <c r="R127" s="102" t="s">
        <v>705</v>
      </c>
      <c r="S127" s="102">
        <v>0</v>
      </c>
      <c r="T127" s="102">
        <v>1</v>
      </c>
      <c r="U127" s="102">
        <v>0.71</v>
      </c>
      <c r="V127" s="102">
        <v>0</v>
      </c>
      <c r="W127" s="102">
        <v>0</v>
      </c>
      <c r="X127" s="102">
        <v>96</v>
      </c>
      <c r="Y127" s="102">
        <v>4</v>
      </c>
      <c r="Z127" s="102">
        <v>1</v>
      </c>
      <c r="AA127" s="102">
        <v>1</v>
      </c>
      <c r="AB127" s="102">
        <v>0</v>
      </c>
      <c r="AC127" s="102">
        <v>27530</v>
      </c>
      <c r="AD127" s="190">
        <v>0.51635111876075734</v>
      </c>
      <c r="AE127" s="102">
        <v>5</v>
      </c>
      <c r="AF127" s="190">
        <v>8.4322959934499953E-3</v>
      </c>
      <c r="AG127" s="190">
        <v>9.2592592592592595</v>
      </c>
    </row>
    <row r="128" spans="1:33" x14ac:dyDescent="0.25">
      <c r="A128" s="102" t="s">
        <v>425</v>
      </c>
      <c r="B128" s="102" t="s">
        <v>606</v>
      </c>
      <c r="C128" s="102">
        <v>1083</v>
      </c>
      <c r="D128" s="102" t="s">
        <v>678</v>
      </c>
      <c r="E128" s="102" t="s">
        <v>666</v>
      </c>
      <c r="F128" s="102">
        <f t="shared" si="1"/>
        <v>0</v>
      </c>
      <c r="G128" s="191" t="s">
        <v>709</v>
      </c>
      <c r="H128" s="102" t="s">
        <v>673</v>
      </c>
      <c r="I128" s="102">
        <v>0</v>
      </c>
      <c r="J128" s="102">
        <v>0</v>
      </c>
      <c r="K128" s="102">
        <v>0</v>
      </c>
      <c r="L128" s="102">
        <v>0</v>
      </c>
      <c r="M128" s="102">
        <v>0</v>
      </c>
      <c r="N128" s="102">
        <v>0</v>
      </c>
      <c r="O128" s="102">
        <v>0</v>
      </c>
      <c r="P128" s="102">
        <v>75</v>
      </c>
      <c r="Q128" s="190">
        <v>2.1698113207547181</v>
      </c>
      <c r="R128" s="102" t="s">
        <v>705</v>
      </c>
      <c r="S128" s="102">
        <v>0</v>
      </c>
      <c r="T128" s="102">
        <v>0</v>
      </c>
      <c r="U128" s="102">
        <v>0.78</v>
      </c>
      <c r="V128" s="102">
        <v>0</v>
      </c>
      <c r="W128" s="102">
        <v>0</v>
      </c>
      <c r="X128" s="102">
        <v>74</v>
      </c>
      <c r="Y128" s="102">
        <v>0.36</v>
      </c>
      <c r="Z128" s="102">
        <v>0</v>
      </c>
      <c r="AA128" s="102">
        <v>0</v>
      </c>
      <c r="AB128" s="102">
        <v>0</v>
      </c>
      <c r="AC128" s="102">
        <v>25502</v>
      </c>
      <c r="AD128" s="190">
        <v>1.160092807424594</v>
      </c>
      <c r="AE128" s="102">
        <v>2</v>
      </c>
      <c r="AF128" s="190">
        <v>9.859112267685663E-2</v>
      </c>
      <c r="AG128" s="190">
        <v>4.4444444444444446</v>
      </c>
    </row>
    <row r="129" spans="1:33" x14ac:dyDescent="0.25">
      <c r="A129" s="102" t="s">
        <v>426</v>
      </c>
      <c r="B129" s="102" t="s">
        <v>607</v>
      </c>
      <c r="C129" s="102">
        <v>347</v>
      </c>
      <c r="D129" s="102" t="s">
        <v>678</v>
      </c>
      <c r="E129" s="102" t="s">
        <v>666</v>
      </c>
      <c r="F129" s="102">
        <f t="shared" si="1"/>
        <v>0</v>
      </c>
      <c r="G129" s="191" t="s">
        <v>709</v>
      </c>
      <c r="H129" s="102" t="s">
        <v>673</v>
      </c>
      <c r="I129" s="102">
        <v>0</v>
      </c>
      <c r="J129" s="102">
        <v>0</v>
      </c>
      <c r="K129" s="102">
        <v>0</v>
      </c>
      <c r="L129" s="102">
        <v>1</v>
      </c>
      <c r="M129" s="102">
        <v>1</v>
      </c>
      <c r="N129" s="102">
        <v>0</v>
      </c>
      <c r="O129" s="102">
        <v>0</v>
      </c>
      <c r="P129" s="102">
        <v>0</v>
      </c>
      <c r="Q129" s="190">
        <v>0.87209302325581461</v>
      </c>
      <c r="R129" s="102" t="s">
        <v>707</v>
      </c>
      <c r="S129" s="102">
        <v>0</v>
      </c>
      <c r="T129" s="102">
        <v>0</v>
      </c>
      <c r="U129" s="102">
        <v>0.71</v>
      </c>
      <c r="V129" s="102">
        <v>0</v>
      </c>
      <c r="W129" s="102">
        <v>0</v>
      </c>
      <c r="X129" s="102">
        <v>17</v>
      </c>
      <c r="Y129" s="102">
        <v>10.47</v>
      </c>
      <c r="Z129" s="102">
        <v>1</v>
      </c>
      <c r="AA129" s="102">
        <v>1</v>
      </c>
      <c r="AB129" s="102">
        <v>0</v>
      </c>
      <c r="AC129" s="102">
        <v>30290</v>
      </c>
      <c r="AD129" s="190">
        <v>0</v>
      </c>
      <c r="AE129" s="102">
        <v>0</v>
      </c>
      <c r="AF129" s="190">
        <v>0.17549573844847613</v>
      </c>
      <c r="AG129" s="190">
        <v>0</v>
      </c>
    </row>
    <row r="130" spans="1:33" x14ac:dyDescent="0.25">
      <c r="A130" s="102" t="s">
        <v>427</v>
      </c>
      <c r="B130" s="102" t="s">
        <v>608</v>
      </c>
      <c r="C130" s="102">
        <v>98</v>
      </c>
      <c r="D130" s="102" t="s">
        <v>678</v>
      </c>
      <c r="E130" s="102" t="s">
        <v>665</v>
      </c>
      <c r="F130" s="102">
        <f t="shared" si="1"/>
        <v>0</v>
      </c>
      <c r="G130" s="191" t="s">
        <v>711</v>
      </c>
      <c r="H130" s="102" t="s">
        <v>672</v>
      </c>
      <c r="I130" s="102">
        <v>0</v>
      </c>
      <c r="J130" s="102">
        <v>0</v>
      </c>
      <c r="K130" s="102">
        <v>1</v>
      </c>
      <c r="L130" s="102">
        <v>0</v>
      </c>
      <c r="M130" s="102">
        <v>0</v>
      </c>
      <c r="N130" s="102">
        <v>0</v>
      </c>
      <c r="O130" s="102">
        <v>0</v>
      </c>
      <c r="P130" s="102">
        <v>0</v>
      </c>
      <c r="Q130" s="190">
        <v>-3.9215686274509807</v>
      </c>
      <c r="R130" s="102" t="s">
        <v>706</v>
      </c>
      <c r="S130" s="102">
        <v>0</v>
      </c>
      <c r="T130" s="102">
        <v>0</v>
      </c>
      <c r="U130" s="102">
        <v>0.59</v>
      </c>
      <c r="V130" s="102">
        <v>1</v>
      </c>
      <c r="W130" s="102">
        <v>0</v>
      </c>
      <c r="X130" s="102">
        <v>3</v>
      </c>
      <c r="Y130" s="102">
        <v>0.06</v>
      </c>
      <c r="Z130" s="102">
        <v>0</v>
      </c>
      <c r="AA130" s="102">
        <v>0</v>
      </c>
      <c r="AB130" s="102">
        <v>0</v>
      </c>
      <c r="AC130" s="102">
        <v>4496</v>
      </c>
      <c r="AD130" s="190">
        <v>6.25</v>
      </c>
      <c r="AE130" s="102">
        <v>0</v>
      </c>
      <c r="AF130" s="190">
        <v>0</v>
      </c>
      <c r="AG130" s="190">
        <v>0</v>
      </c>
    </row>
    <row r="131" spans="1:33" x14ac:dyDescent="0.25">
      <c r="A131" s="102" t="s">
        <v>428</v>
      </c>
      <c r="B131" s="102" t="s">
        <v>609</v>
      </c>
      <c r="C131" s="102">
        <v>276</v>
      </c>
      <c r="D131" s="102" t="s">
        <v>678</v>
      </c>
      <c r="E131" s="102" t="s">
        <v>666</v>
      </c>
      <c r="F131" s="102">
        <f t="shared" si="1"/>
        <v>0</v>
      </c>
      <c r="G131" s="191" t="s">
        <v>711</v>
      </c>
      <c r="H131" s="102" t="s">
        <v>672</v>
      </c>
      <c r="I131" s="102">
        <v>0</v>
      </c>
      <c r="J131" s="102">
        <v>0</v>
      </c>
      <c r="K131" s="102">
        <v>0</v>
      </c>
      <c r="L131" s="102">
        <v>0</v>
      </c>
      <c r="M131" s="102">
        <v>0</v>
      </c>
      <c r="N131" s="102">
        <v>0</v>
      </c>
      <c r="O131" s="102">
        <v>0</v>
      </c>
      <c r="P131" s="102">
        <v>0</v>
      </c>
      <c r="Q131" s="190">
        <v>2.2222222222222143</v>
      </c>
      <c r="R131" s="102" t="s">
        <v>705</v>
      </c>
      <c r="S131" s="102">
        <v>0</v>
      </c>
      <c r="T131" s="102">
        <v>0</v>
      </c>
      <c r="U131" s="102">
        <v>0.61</v>
      </c>
      <c r="V131" s="102">
        <v>1</v>
      </c>
      <c r="W131" s="102">
        <v>0</v>
      </c>
      <c r="X131" s="102">
        <v>17</v>
      </c>
      <c r="Y131" s="102">
        <v>0.53</v>
      </c>
      <c r="Z131" s="102">
        <v>0</v>
      </c>
      <c r="AA131" s="102">
        <v>1</v>
      </c>
      <c r="AB131" s="102">
        <v>0</v>
      </c>
      <c r="AC131" s="102">
        <v>6568</v>
      </c>
      <c r="AD131" s="190">
        <v>0</v>
      </c>
      <c r="AE131" s="102">
        <v>1</v>
      </c>
      <c r="AF131" s="190">
        <v>0.29865835235681459</v>
      </c>
      <c r="AG131" s="190">
        <v>12.5</v>
      </c>
    </row>
    <row r="132" spans="1:33" ht="30" x14ac:dyDescent="0.25">
      <c r="A132" s="102" t="s">
        <v>429</v>
      </c>
      <c r="B132" s="102" t="s">
        <v>610</v>
      </c>
      <c r="C132" s="102">
        <v>665</v>
      </c>
      <c r="D132" s="102" t="s">
        <v>678</v>
      </c>
      <c r="E132" s="102" t="s">
        <v>669</v>
      </c>
      <c r="F132" s="102">
        <f t="shared" si="1"/>
        <v>0</v>
      </c>
      <c r="G132" s="191" t="s">
        <v>708</v>
      </c>
      <c r="H132" s="102" t="s">
        <v>671</v>
      </c>
      <c r="I132" s="102">
        <v>0</v>
      </c>
      <c r="J132" s="102">
        <v>0</v>
      </c>
      <c r="K132" s="102">
        <v>0</v>
      </c>
      <c r="L132" s="102">
        <v>0</v>
      </c>
      <c r="M132" s="102">
        <v>0</v>
      </c>
      <c r="N132" s="102">
        <v>0</v>
      </c>
      <c r="O132" s="102">
        <v>1</v>
      </c>
      <c r="P132" s="102">
        <v>0</v>
      </c>
      <c r="Q132" s="190">
        <v>3.582554517133957</v>
      </c>
      <c r="R132" s="102" t="s">
        <v>705</v>
      </c>
      <c r="S132" s="102">
        <v>0</v>
      </c>
      <c r="T132" s="102">
        <v>0</v>
      </c>
      <c r="U132" s="102">
        <v>0.68</v>
      </c>
      <c r="V132" s="102">
        <v>0</v>
      </c>
      <c r="W132" s="102">
        <v>0</v>
      </c>
      <c r="X132" s="102">
        <v>43</v>
      </c>
      <c r="Y132" s="102">
        <v>1.1100000000000001</v>
      </c>
      <c r="Z132" s="102">
        <v>0</v>
      </c>
      <c r="AA132" s="102">
        <v>1</v>
      </c>
      <c r="AB132" s="102">
        <v>0</v>
      </c>
      <c r="AC132" s="102">
        <v>19102</v>
      </c>
      <c r="AD132" s="190">
        <v>1.075268817204301</v>
      </c>
      <c r="AE132" s="102">
        <v>1</v>
      </c>
      <c r="AF132" s="190">
        <v>0.2281598051963889</v>
      </c>
      <c r="AG132" s="190">
        <v>7.6923076923076916</v>
      </c>
    </row>
    <row r="133" spans="1:33" x14ac:dyDescent="0.25">
      <c r="A133" s="102" t="s">
        <v>430</v>
      </c>
      <c r="B133" s="102" t="s">
        <v>611</v>
      </c>
      <c r="C133" s="102">
        <v>480</v>
      </c>
      <c r="D133" s="102" t="s">
        <v>678</v>
      </c>
      <c r="E133" s="102" t="s">
        <v>665</v>
      </c>
      <c r="F133" s="102">
        <f t="shared" ref="F133:F186" si="2">IF(C133&gt;=5000,1,0)</f>
        <v>0</v>
      </c>
      <c r="G133" s="191" t="s">
        <v>711</v>
      </c>
      <c r="H133" s="102" t="s">
        <v>672</v>
      </c>
      <c r="I133" s="102">
        <v>0</v>
      </c>
      <c r="J133" s="102">
        <v>0</v>
      </c>
      <c r="K133" s="102">
        <v>1</v>
      </c>
      <c r="L133" s="102">
        <v>0</v>
      </c>
      <c r="M133" s="102">
        <v>0</v>
      </c>
      <c r="N133" s="102">
        <v>0</v>
      </c>
      <c r="O133" s="102">
        <v>0</v>
      </c>
      <c r="P133" s="102">
        <v>0</v>
      </c>
      <c r="Q133" s="190">
        <v>-0.8264462809917319</v>
      </c>
      <c r="R133" s="102" t="s">
        <v>707</v>
      </c>
      <c r="S133" s="102">
        <v>0</v>
      </c>
      <c r="T133" s="102">
        <v>0</v>
      </c>
      <c r="U133" s="102">
        <v>0.66</v>
      </c>
      <c r="V133" s="102">
        <v>0</v>
      </c>
      <c r="W133" s="102">
        <v>0</v>
      </c>
      <c r="X133" s="102">
        <v>24</v>
      </c>
      <c r="Y133" s="102">
        <v>-0.54</v>
      </c>
      <c r="Z133" s="102">
        <v>0</v>
      </c>
      <c r="AA133" s="102">
        <v>0</v>
      </c>
      <c r="AB133" s="102">
        <v>0</v>
      </c>
      <c r="AC133" s="102">
        <v>12787</v>
      </c>
      <c r="AD133" s="190">
        <v>1.2396694214876034</v>
      </c>
      <c r="AE133" s="102">
        <v>2</v>
      </c>
      <c r="AF133" s="190">
        <v>0.6753848021049611</v>
      </c>
      <c r="AG133" s="190">
        <v>25</v>
      </c>
    </row>
    <row r="134" spans="1:33" x14ac:dyDescent="0.25">
      <c r="A134" s="102" t="s">
        <v>431</v>
      </c>
      <c r="B134" s="102" t="s">
        <v>612</v>
      </c>
      <c r="C134" s="102">
        <v>605</v>
      </c>
      <c r="D134" s="102" t="s">
        <v>678</v>
      </c>
      <c r="E134" s="102" t="s">
        <v>668</v>
      </c>
      <c r="F134" s="102">
        <f t="shared" si="2"/>
        <v>0</v>
      </c>
      <c r="G134" s="191" t="s">
        <v>711</v>
      </c>
      <c r="H134" s="102" t="s">
        <v>672</v>
      </c>
      <c r="I134" s="102">
        <v>1</v>
      </c>
      <c r="J134" s="102">
        <v>0</v>
      </c>
      <c r="K134" s="102">
        <v>1</v>
      </c>
      <c r="L134" s="102">
        <v>1</v>
      </c>
      <c r="M134" s="102">
        <v>1</v>
      </c>
      <c r="N134" s="102">
        <v>0</v>
      </c>
      <c r="O134" s="102">
        <v>1</v>
      </c>
      <c r="P134" s="102">
        <v>0</v>
      </c>
      <c r="Q134" s="190">
        <v>7.0796460176991047</v>
      </c>
      <c r="R134" s="102" t="s">
        <v>705</v>
      </c>
      <c r="S134" s="102">
        <v>0</v>
      </c>
      <c r="T134" s="102">
        <v>0</v>
      </c>
      <c r="U134" s="102">
        <v>0.71</v>
      </c>
      <c r="V134" s="102">
        <v>0</v>
      </c>
      <c r="W134" s="102">
        <v>1</v>
      </c>
      <c r="X134" s="102">
        <v>39</v>
      </c>
      <c r="Y134" s="102">
        <v>-0.01</v>
      </c>
      <c r="Z134" s="102">
        <v>0</v>
      </c>
      <c r="AA134" s="102">
        <v>1</v>
      </c>
      <c r="AB134" s="102">
        <v>0</v>
      </c>
      <c r="AC134" s="102">
        <v>9859</v>
      </c>
      <c r="AD134" s="190">
        <v>0.66889632107023411</v>
      </c>
      <c r="AE134" s="102">
        <v>0</v>
      </c>
      <c r="AF134" s="190">
        <v>3.1249854929641425</v>
      </c>
      <c r="AG134" s="190">
        <v>0</v>
      </c>
    </row>
    <row r="135" spans="1:33" x14ac:dyDescent="0.25">
      <c r="A135" s="102" t="s">
        <v>432</v>
      </c>
      <c r="B135" s="102" t="s">
        <v>613</v>
      </c>
      <c r="C135" s="102">
        <v>629</v>
      </c>
      <c r="D135" s="102" t="s">
        <v>678</v>
      </c>
      <c r="E135" s="102" t="s">
        <v>667</v>
      </c>
      <c r="F135" s="102">
        <f t="shared" si="2"/>
        <v>0</v>
      </c>
      <c r="G135" s="191" t="s">
        <v>711</v>
      </c>
      <c r="H135" s="102" t="s">
        <v>672</v>
      </c>
      <c r="I135" s="102">
        <v>0</v>
      </c>
      <c r="J135" s="102">
        <v>0</v>
      </c>
      <c r="K135" s="102">
        <v>1</v>
      </c>
      <c r="L135" s="102">
        <v>0</v>
      </c>
      <c r="M135" s="102">
        <v>0</v>
      </c>
      <c r="N135" s="102">
        <v>0</v>
      </c>
      <c r="O135" s="102">
        <v>1</v>
      </c>
      <c r="P135" s="102">
        <v>0</v>
      </c>
      <c r="Q135" s="190">
        <v>-3.379416282642083</v>
      </c>
      <c r="R135" s="102" t="s">
        <v>706</v>
      </c>
      <c r="S135" s="102">
        <v>1</v>
      </c>
      <c r="T135" s="102">
        <v>0</v>
      </c>
      <c r="U135" s="102">
        <v>0.64</v>
      </c>
      <c r="V135" s="102">
        <v>1</v>
      </c>
      <c r="W135" s="102">
        <v>0</v>
      </c>
      <c r="X135" s="102">
        <v>29</v>
      </c>
      <c r="Y135" s="102">
        <v>0</v>
      </c>
      <c r="Z135" s="102">
        <v>0</v>
      </c>
      <c r="AA135" s="102">
        <v>1</v>
      </c>
      <c r="AB135" s="102">
        <v>0</v>
      </c>
      <c r="AC135" s="102">
        <v>17545</v>
      </c>
      <c r="AD135" s="190">
        <v>3.2051282051282048</v>
      </c>
      <c r="AE135" s="102">
        <v>3</v>
      </c>
      <c r="AF135" s="190">
        <v>0</v>
      </c>
      <c r="AG135" s="190">
        <v>27.272727272727273</v>
      </c>
    </row>
    <row r="136" spans="1:33" x14ac:dyDescent="0.25">
      <c r="A136" s="102" t="s">
        <v>433</v>
      </c>
      <c r="B136" s="102" t="s">
        <v>614</v>
      </c>
      <c r="C136" s="102">
        <v>2672</v>
      </c>
      <c r="D136" s="102" t="s">
        <v>678</v>
      </c>
      <c r="E136" s="102" t="s">
        <v>664</v>
      </c>
      <c r="F136" s="102">
        <f t="shared" si="2"/>
        <v>0</v>
      </c>
      <c r="G136" s="191" t="s">
        <v>711</v>
      </c>
      <c r="H136" s="102" t="s">
        <v>672</v>
      </c>
      <c r="I136" s="102">
        <v>0</v>
      </c>
      <c r="J136" s="102">
        <v>0</v>
      </c>
      <c r="K136" s="102">
        <v>0</v>
      </c>
      <c r="L136" s="102">
        <v>1</v>
      </c>
      <c r="M136" s="102">
        <v>1</v>
      </c>
      <c r="N136" s="102">
        <v>0</v>
      </c>
      <c r="O136" s="102">
        <v>1</v>
      </c>
      <c r="P136" s="102">
        <v>0</v>
      </c>
      <c r="Q136" s="190">
        <v>4.7021943573667784</v>
      </c>
      <c r="R136" s="102" t="s">
        <v>705</v>
      </c>
      <c r="S136" s="102">
        <v>0</v>
      </c>
      <c r="T136" s="102">
        <v>0</v>
      </c>
      <c r="U136" s="102">
        <v>0.8</v>
      </c>
      <c r="V136" s="102">
        <v>0</v>
      </c>
      <c r="W136" s="102">
        <v>1</v>
      </c>
      <c r="X136" s="102">
        <v>188</v>
      </c>
      <c r="Y136" s="102">
        <v>0.28000000000000003</v>
      </c>
      <c r="Z136" s="102">
        <v>0</v>
      </c>
      <c r="AA136" s="102">
        <v>1</v>
      </c>
      <c r="AB136" s="102">
        <v>0</v>
      </c>
      <c r="AC136" s="102">
        <v>16339</v>
      </c>
      <c r="AD136" s="190">
        <v>0.24529844644317253</v>
      </c>
      <c r="AE136" s="102">
        <v>4</v>
      </c>
      <c r="AF136" s="190">
        <v>0.33909619448974937</v>
      </c>
      <c r="AG136" s="190">
        <v>6.666666666666667</v>
      </c>
    </row>
    <row r="137" spans="1:33" x14ac:dyDescent="0.25">
      <c r="A137" s="102" t="s">
        <v>434</v>
      </c>
      <c r="B137" s="102" t="s">
        <v>615</v>
      </c>
      <c r="C137" s="102">
        <v>988</v>
      </c>
      <c r="D137" s="102" t="s">
        <v>678</v>
      </c>
      <c r="E137" s="102" t="s">
        <v>665</v>
      </c>
      <c r="F137" s="102">
        <f t="shared" si="2"/>
        <v>0</v>
      </c>
      <c r="G137" s="191" t="s">
        <v>711</v>
      </c>
      <c r="H137" s="102" t="s">
        <v>672</v>
      </c>
      <c r="I137" s="102">
        <v>0</v>
      </c>
      <c r="J137" s="102">
        <v>0</v>
      </c>
      <c r="K137" s="102">
        <v>1</v>
      </c>
      <c r="L137" s="102">
        <v>0</v>
      </c>
      <c r="M137" s="102">
        <v>0</v>
      </c>
      <c r="N137" s="102">
        <v>0</v>
      </c>
      <c r="O137" s="102">
        <v>0</v>
      </c>
      <c r="P137" s="102">
        <v>266</v>
      </c>
      <c r="Q137" s="190">
        <v>-1.4955134596211366</v>
      </c>
      <c r="R137" s="102" t="s">
        <v>707</v>
      </c>
      <c r="S137" s="102">
        <v>0</v>
      </c>
      <c r="T137" s="102">
        <v>0</v>
      </c>
      <c r="U137" s="102">
        <v>0.57999999999999996</v>
      </c>
      <c r="V137" s="102">
        <v>1</v>
      </c>
      <c r="W137" s="102">
        <v>0</v>
      </c>
      <c r="X137" s="102">
        <v>34</v>
      </c>
      <c r="Y137" s="102">
        <v>-0.47</v>
      </c>
      <c r="Z137" s="102">
        <v>0</v>
      </c>
      <c r="AA137" s="102">
        <v>0</v>
      </c>
      <c r="AB137" s="102">
        <v>0</v>
      </c>
      <c r="AC137" s="102">
        <v>12519</v>
      </c>
      <c r="AD137" s="190">
        <v>4.6709129511677281</v>
      </c>
      <c r="AE137" s="102">
        <v>3</v>
      </c>
      <c r="AF137" s="190">
        <v>0.28867874133354637</v>
      </c>
      <c r="AG137" s="190">
        <v>30</v>
      </c>
    </row>
    <row r="138" spans="1:33" x14ac:dyDescent="0.25">
      <c r="A138" s="102" t="s">
        <v>435</v>
      </c>
      <c r="B138" s="102" t="s">
        <v>616</v>
      </c>
      <c r="C138" s="102">
        <v>77</v>
      </c>
      <c r="D138" s="102" t="s">
        <v>678</v>
      </c>
      <c r="E138" s="102" t="s">
        <v>665</v>
      </c>
      <c r="F138" s="102">
        <f t="shared" si="2"/>
        <v>0</v>
      </c>
      <c r="G138" s="191" t="s">
        <v>711</v>
      </c>
      <c r="H138" s="102" t="s">
        <v>672</v>
      </c>
      <c r="I138" s="102">
        <v>0</v>
      </c>
      <c r="J138" s="102">
        <v>0</v>
      </c>
      <c r="K138" s="102">
        <v>1</v>
      </c>
      <c r="L138" s="102">
        <v>0</v>
      </c>
      <c r="M138" s="102">
        <v>0</v>
      </c>
      <c r="N138" s="102">
        <v>0</v>
      </c>
      <c r="O138" s="102">
        <v>1</v>
      </c>
      <c r="P138" s="102">
        <v>0</v>
      </c>
      <c r="Q138" s="190">
        <v>32.758620689655174</v>
      </c>
      <c r="R138" s="102" t="s">
        <v>705</v>
      </c>
      <c r="S138" s="102">
        <v>1</v>
      </c>
      <c r="T138" s="102">
        <v>0</v>
      </c>
      <c r="U138" s="102">
        <v>0.55000000000000004</v>
      </c>
      <c r="V138" s="102">
        <v>1</v>
      </c>
      <c r="W138" s="102">
        <v>0</v>
      </c>
      <c r="X138" s="102">
        <v>3</v>
      </c>
      <c r="Y138" s="102">
        <v>-0.04</v>
      </c>
      <c r="Z138" s="102">
        <v>0</v>
      </c>
      <c r="AA138" s="102">
        <v>1</v>
      </c>
      <c r="AB138" s="102">
        <v>0</v>
      </c>
      <c r="AC138" s="102">
        <v>7435</v>
      </c>
      <c r="AD138" s="190">
        <v>3.3333333333333335</v>
      </c>
      <c r="AE138" s="102">
        <v>1</v>
      </c>
      <c r="AF138" s="190">
        <v>8.3588691695567E-2</v>
      </c>
      <c r="AG138" s="190">
        <v>16.666666666666668</v>
      </c>
    </row>
    <row r="139" spans="1:33" x14ac:dyDescent="0.25">
      <c r="A139" s="102" t="s">
        <v>436</v>
      </c>
      <c r="B139" s="102" t="s">
        <v>617</v>
      </c>
      <c r="C139" s="102">
        <v>468</v>
      </c>
      <c r="D139" s="102" t="s">
        <v>678</v>
      </c>
      <c r="E139" s="102" t="s">
        <v>665</v>
      </c>
      <c r="F139" s="102">
        <f t="shared" si="2"/>
        <v>0</v>
      </c>
      <c r="G139" s="191" t="s">
        <v>711</v>
      </c>
      <c r="H139" s="102" t="s">
        <v>672</v>
      </c>
      <c r="I139" s="102">
        <v>0</v>
      </c>
      <c r="J139" s="102">
        <v>0</v>
      </c>
      <c r="K139" s="102">
        <v>1</v>
      </c>
      <c r="L139" s="102">
        <v>0</v>
      </c>
      <c r="M139" s="102">
        <v>0</v>
      </c>
      <c r="N139" s="102">
        <v>0</v>
      </c>
      <c r="O139" s="102">
        <v>1</v>
      </c>
      <c r="P139" s="102">
        <v>0</v>
      </c>
      <c r="Q139" s="190">
        <v>-0.42553191489362518</v>
      </c>
      <c r="R139" s="102" t="s">
        <v>707</v>
      </c>
      <c r="S139" s="102">
        <v>1</v>
      </c>
      <c r="T139" s="102">
        <v>0</v>
      </c>
      <c r="U139" s="102">
        <v>0.65</v>
      </c>
      <c r="V139" s="102">
        <v>1</v>
      </c>
      <c r="W139" s="102">
        <v>0</v>
      </c>
      <c r="X139" s="102">
        <v>17</v>
      </c>
      <c r="Y139" s="102">
        <v>-0.39</v>
      </c>
      <c r="Z139" s="102">
        <v>0</v>
      </c>
      <c r="AA139" s="102">
        <v>1</v>
      </c>
      <c r="AB139" s="102">
        <v>0</v>
      </c>
      <c r="AC139" s="102">
        <v>9050</v>
      </c>
      <c r="AD139" s="190">
        <v>3.9800995024875627</v>
      </c>
      <c r="AE139" s="102">
        <v>2</v>
      </c>
      <c r="AF139" s="190">
        <v>0.84505673470612297</v>
      </c>
      <c r="AG139" s="190">
        <v>28.571428571428569</v>
      </c>
    </row>
    <row r="140" spans="1:33" x14ac:dyDescent="0.25">
      <c r="A140" s="102" t="s">
        <v>437</v>
      </c>
      <c r="B140" s="102" t="s">
        <v>618</v>
      </c>
      <c r="C140" s="102">
        <v>451</v>
      </c>
      <c r="D140" s="102" t="s">
        <v>678</v>
      </c>
      <c r="E140" s="102" t="s">
        <v>668</v>
      </c>
      <c r="F140" s="102">
        <f t="shared" si="2"/>
        <v>0</v>
      </c>
      <c r="G140" s="191" t="s">
        <v>711</v>
      </c>
      <c r="H140" s="102" t="s">
        <v>672</v>
      </c>
      <c r="I140" s="102">
        <v>1</v>
      </c>
      <c r="J140" s="102">
        <v>0</v>
      </c>
      <c r="K140" s="102">
        <v>1</v>
      </c>
      <c r="L140" s="102">
        <v>1</v>
      </c>
      <c r="M140" s="102">
        <v>1</v>
      </c>
      <c r="N140" s="102">
        <v>0</v>
      </c>
      <c r="O140" s="102">
        <v>0</v>
      </c>
      <c r="P140" s="102">
        <v>65</v>
      </c>
      <c r="Q140" s="190">
        <v>-5.8455114822546932</v>
      </c>
      <c r="R140" s="102" t="s">
        <v>706</v>
      </c>
      <c r="S140" s="102">
        <v>0</v>
      </c>
      <c r="T140" s="102">
        <v>0</v>
      </c>
      <c r="U140" s="102">
        <v>0.73</v>
      </c>
      <c r="V140" s="102">
        <v>0</v>
      </c>
      <c r="W140" s="102">
        <v>0</v>
      </c>
      <c r="X140" s="102">
        <v>31</v>
      </c>
      <c r="Y140" s="102">
        <v>0.27</v>
      </c>
      <c r="Z140" s="102">
        <v>0</v>
      </c>
      <c r="AA140" s="102">
        <v>1</v>
      </c>
      <c r="AB140" s="102">
        <v>0</v>
      </c>
      <c r="AC140" s="102">
        <v>6717</v>
      </c>
      <c r="AD140" s="190">
        <v>1.25</v>
      </c>
      <c r="AE140" s="102">
        <v>1</v>
      </c>
      <c r="AF140" s="190">
        <v>9.4393765446198402E-2</v>
      </c>
      <c r="AG140" s="190">
        <v>14.285714285714285</v>
      </c>
    </row>
    <row r="141" spans="1:33" x14ac:dyDescent="0.25">
      <c r="A141" s="102" t="s">
        <v>438</v>
      </c>
      <c r="B141" s="102" t="s">
        <v>619</v>
      </c>
      <c r="C141" s="102">
        <v>134</v>
      </c>
      <c r="D141" s="102" t="s">
        <v>678</v>
      </c>
      <c r="E141" s="102" t="s">
        <v>668</v>
      </c>
      <c r="F141" s="102">
        <f t="shared" si="2"/>
        <v>0</v>
      </c>
      <c r="G141" s="191" t="s">
        <v>711</v>
      </c>
      <c r="H141" s="102" t="s">
        <v>672</v>
      </c>
      <c r="I141" s="102">
        <v>1</v>
      </c>
      <c r="J141" s="102">
        <v>0</v>
      </c>
      <c r="K141" s="102">
        <v>1</v>
      </c>
      <c r="L141" s="102">
        <v>1</v>
      </c>
      <c r="M141" s="102">
        <v>1</v>
      </c>
      <c r="N141" s="102">
        <v>0</v>
      </c>
      <c r="O141" s="102">
        <v>1</v>
      </c>
      <c r="P141" s="102">
        <v>0</v>
      </c>
      <c r="Q141" s="190">
        <v>1.5151515151515156</v>
      </c>
      <c r="R141" s="102" t="s">
        <v>707</v>
      </c>
      <c r="S141" s="102">
        <v>0</v>
      </c>
      <c r="T141" s="102">
        <v>0</v>
      </c>
      <c r="U141" s="102">
        <v>0.62</v>
      </c>
      <c r="V141" s="102">
        <v>1</v>
      </c>
      <c r="W141" s="102">
        <v>0</v>
      </c>
      <c r="X141" s="102">
        <v>8</v>
      </c>
      <c r="Y141" s="102">
        <v>0.78</v>
      </c>
      <c r="Z141" s="102">
        <v>0</v>
      </c>
      <c r="AA141" s="102">
        <v>1</v>
      </c>
      <c r="AB141" s="102">
        <v>0</v>
      </c>
      <c r="AC141" s="102">
        <v>9859</v>
      </c>
      <c r="AD141" s="190">
        <v>0</v>
      </c>
      <c r="AE141" s="102">
        <v>0</v>
      </c>
      <c r="AF141" s="190">
        <v>0</v>
      </c>
      <c r="AG141" s="190">
        <v>0</v>
      </c>
    </row>
    <row r="142" spans="1:33" x14ac:dyDescent="0.25">
      <c r="A142" s="102" t="s">
        <v>439</v>
      </c>
      <c r="B142" s="102" t="s">
        <v>620</v>
      </c>
      <c r="C142" s="102">
        <v>966</v>
      </c>
      <c r="D142" s="102" t="s">
        <v>678</v>
      </c>
      <c r="E142" s="102" t="s">
        <v>665</v>
      </c>
      <c r="F142" s="102">
        <f t="shared" si="2"/>
        <v>0</v>
      </c>
      <c r="G142" s="191" t="s">
        <v>711</v>
      </c>
      <c r="H142" s="102" t="s">
        <v>672</v>
      </c>
      <c r="I142" s="102">
        <v>0</v>
      </c>
      <c r="J142" s="102">
        <v>0</v>
      </c>
      <c r="K142" s="102">
        <v>1</v>
      </c>
      <c r="L142" s="102">
        <v>0</v>
      </c>
      <c r="M142" s="102">
        <v>0</v>
      </c>
      <c r="N142" s="102">
        <v>0</v>
      </c>
      <c r="O142" s="102">
        <v>1</v>
      </c>
      <c r="P142" s="102">
        <v>0</v>
      </c>
      <c r="Q142" s="190">
        <v>2.330508474576277</v>
      </c>
      <c r="R142" s="102" t="s">
        <v>705</v>
      </c>
      <c r="S142" s="102">
        <v>0</v>
      </c>
      <c r="T142" s="102">
        <v>0</v>
      </c>
      <c r="U142" s="102">
        <v>0.67</v>
      </c>
      <c r="V142" s="102">
        <v>0</v>
      </c>
      <c r="W142" s="102">
        <v>0</v>
      </c>
      <c r="X142" s="102">
        <v>68</v>
      </c>
      <c r="Y142" s="102">
        <v>-0.28000000000000003</v>
      </c>
      <c r="Z142" s="102">
        <v>0</v>
      </c>
      <c r="AA142" s="102">
        <v>1</v>
      </c>
      <c r="AB142" s="102">
        <v>0</v>
      </c>
      <c r="AC142" s="102">
        <v>10334</v>
      </c>
      <c r="AD142" s="190">
        <v>0.22271714922048996</v>
      </c>
      <c r="AE142" s="102">
        <v>1</v>
      </c>
      <c r="AF142" s="190">
        <v>0.34444028301649654</v>
      </c>
      <c r="AG142" s="190">
        <v>5.8823529411764701</v>
      </c>
    </row>
    <row r="143" spans="1:33" ht="30" x14ac:dyDescent="0.25">
      <c r="A143" s="102" t="s">
        <v>440</v>
      </c>
      <c r="B143" s="102" t="s">
        <v>621</v>
      </c>
      <c r="C143" s="102">
        <v>140</v>
      </c>
      <c r="D143" s="102" t="s">
        <v>678</v>
      </c>
      <c r="E143" s="102" t="s">
        <v>665</v>
      </c>
      <c r="F143" s="102">
        <f t="shared" si="2"/>
        <v>0</v>
      </c>
      <c r="G143" s="191" t="s">
        <v>708</v>
      </c>
      <c r="H143" s="102" t="s">
        <v>671</v>
      </c>
      <c r="I143" s="102">
        <v>0</v>
      </c>
      <c r="J143" s="102">
        <v>0</v>
      </c>
      <c r="K143" s="102">
        <v>1</v>
      </c>
      <c r="L143" s="102">
        <v>0</v>
      </c>
      <c r="M143" s="102">
        <v>0</v>
      </c>
      <c r="N143" s="102">
        <v>0</v>
      </c>
      <c r="O143" s="102">
        <v>0</v>
      </c>
      <c r="P143" s="102">
        <v>0</v>
      </c>
      <c r="Q143" s="190">
        <v>-8.4967320261437891</v>
      </c>
      <c r="R143" s="102" t="s">
        <v>706</v>
      </c>
      <c r="S143" s="102">
        <v>0</v>
      </c>
      <c r="T143" s="102">
        <v>0</v>
      </c>
      <c r="U143" s="102">
        <v>0.53</v>
      </c>
      <c r="V143" s="102">
        <v>1</v>
      </c>
      <c r="W143" s="102">
        <v>0</v>
      </c>
      <c r="X143" s="102">
        <v>10</v>
      </c>
      <c r="Y143" s="102">
        <v>-0.57999999999999996</v>
      </c>
      <c r="Z143" s="102">
        <v>0</v>
      </c>
      <c r="AA143" s="102">
        <v>1</v>
      </c>
      <c r="AB143" s="102">
        <v>0</v>
      </c>
      <c r="AC143" s="102">
        <v>9859</v>
      </c>
      <c r="AD143" s="190">
        <v>2.8169014084507045</v>
      </c>
      <c r="AE143" s="102">
        <v>0</v>
      </c>
      <c r="AF143" s="190">
        <v>18.10367965859442</v>
      </c>
      <c r="AG143" s="190">
        <v>0</v>
      </c>
    </row>
    <row r="144" spans="1:33" ht="30" x14ac:dyDescent="0.25">
      <c r="A144" s="102" t="s">
        <v>441</v>
      </c>
      <c r="B144" s="102" t="s">
        <v>622</v>
      </c>
      <c r="C144" s="102">
        <v>3335</v>
      </c>
      <c r="D144" s="102" t="s">
        <v>678</v>
      </c>
      <c r="E144" s="102" t="s">
        <v>669</v>
      </c>
      <c r="F144" s="102">
        <f t="shared" si="2"/>
        <v>0</v>
      </c>
      <c r="G144" s="191" t="s">
        <v>708</v>
      </c>
      <c r="H144" s="102" t="s">
        <v>671</v>
      </c>
      <c r="I144" s="102">
        <v>0</v>
      </c>
      <c r="J144" s="102">
        <v>0</v>
      </c>
      <c r="K144" s="102">
        <v>0</v>
      </c>
      <c r="L144" s="102">
        <v>0</v>
      </c>
      <c r="M144" s="102">
        <v>0</v>
      </c>
      <c r="N144" s="102">
        <v>1</v>
      </c>
      <c r="O144" s="102">
        <v>1</v>
      </c>
      <c r="P144" s="102">
        <v>0</v>
      </c>
      <c r="Q144" s="190">
        <v>22.475211164157173</v>
      </c>
      <c r="R144" s="102" t="s">
        <v>705</v>
      </c>
      <c r="S144" s="102">
        <v>0</v>
      </c>
      <c r="T144" s="102">
        <v>1</v>
      </c>
      <c r="U144" s="102">
        <v>0.84</v>
      </c>
      <c r="V144" s="102">
        <v>0</v>
      </c>
      <c r="W144" s="102">
        <v>1</v>
      </c>
      <c r="X144" s="102">
        <v>249</v>
      </c>
      <c r="Y144" s="102">
        <v>28.72</v>
      </c>
      <c r="Z144" s="102">
        <v>1</v>
      </c>
      <c r="AA144" s="102">
        <v>1</v>
      </c>
      <c r="AB144" s="102">
        <v>1</v>
      </c>
      <c r="AC144" s="102">
        <v>21317</v>
      </c>
      <c r="AD144" s="190">
        <v>1.1479591836734695</v>
      </c>
      <c r="AE144" s="102">
        <v>5</v>
      </c>
      <c r="AF144" s="190">
        <v>0.14032079690380359</v>
      </c>
      <c r="AG144" s="190">
        <v>10</v>
      </c>
    </row>
    <row r="145" spans="1:33" ht="30" x14ac:dyDescent="0.25">
      <c r="A145" s="102" t="s">
        <v>442</v>
      </c>
      <c r="B145" s="102" t="s">
        <v>623</v>
      </c>
      <c r="C145" s="102">
        <v>1193</v>
      </c>
      <c r="D145" s="102" t="s">
        <v>678</v>
      </c>
      <c r="E145" s="102" t="s">
        <v>670</v>
      </c>
      <c r="F145" s="102">
        <f t="shared" si="2"/>
        <v>0</v>
      </c>
      <c r="G145" s="191" t="s">
        <v>710</v>
      </c>
      <c r="H145" s="102" t="s">
        <v>674</v>
      </c>
      <c r="I145" s="102">
        <v>0</v>
      </c>
      <c r="J145" s="102">
        <v>0</v>
      </c>
      <c r="K145" s="102">
        <v>1</v>
      </c>
      <c r="L145" s="102">
        <v>1</v>
      </c>
      <c r="M145" s="102">
        <v>1</v>
      </c>
      <c r="N145" s="102">
        <v>0</v>
      </c>
      <c r="O145" s="102">
        <v>0</v>
      </c>
      <c r="P145" s="102">
        <v>0</v>
      </c>
      <c r="Q145" s="190">
        <v>-0.83125519534496561</v>
      </c>
      <c r="R145" s="102" t="s">
        <v>707</v>
      </c>
      <c r="S145" s="102">
        <v>1</v>
      </c>
      <c r="T145" s="102">
        <v>0</v>
      </c>
      <c r="U145" s="102">
        <v>0.71</v>
      </c>
      <c r="V145" s="102">
        <v>0</v>
      </c>
      <c r="W145" s="102">
        <v>0</v>
      </c>
      <c r="X145" s="102">
        <v>76</v>
      </c>
      <c r="Y145" s="102">
        <v>0.05</v>
      </c>
      <c r="Z145" s="102">
        <v>0</v>
      </c>
      <c r="AA145" s="102">
        <v>1</v>
      </c>
      <c r="AB145" s="102">
        <v>0</v>
      </c>
      <c r="AC145" s="102">
        <v>12781</v>
      </c>
      <c r="AD145" s="190">
        <v>0.16207455429497569</v>
      </c>
      <c r="AE145" s="102">
        <v>2</v>
      </c>
      <c r="AF145" s="190">
        <v>4.2103347511252571E-3</v>
      </c>
      <c r="AG145" s="190">
        <v>8</v>
      </c>
    </row>
    <row r="146" spans="1:33" x14ac:dyDescent="0.25">
      <c r="A146" s="102" t="s">
        <v>443</v>
      </c>
      <c r="B146" s="102" t="s">
        <v>624</v>
      </c>
      <c r="C146" s="102">
        <v>285</v>
      </c>
      <c r="D146" s="102" t="s">
        <v>678</v>
      </c>
      <c r="E146" s="102" t="s">
        <v>667</v>
      </c>
      <c r="F146" s="102">
        <f t="shared" si="2"/>
        <v>0</v>
      </c>
      <c r="G146" s="191" t="s">
        <v>711</v>
      </c>
      <c r="H146" s="102" t="s">
        <v>672</v>
      </c>
      <c r="I146" s="102">
        <v>0</v>
      </c>
      <c r="J146" s="102">
        <v>0</v>
      </c>
      <c r="K146" s="102">
        <v>1</v>
      </c>
      <c r="L146" s="102">
        <v>0</v>
      </c>
      <c r="M146" s="102">
        <v>0</v>
      </c>
      <c r="N146" s="102">
        <v>0</v>
      </c>
      <c r="O146" s="102">
        <v>0</v>
      </c>
      <c r="P146" s="102">
        <v>0</v>
      </c>
      <c r="Q146" s="190">
        <v>-9.2356687898089262</v>
      </c>
      <c r="R146" s="102" t="s">
        <v>706</v>
      </c>
      <c r="S146" s="102">
        <v>1</v>
      </c>
      <c r="T146" s="102">
        <v>0</v>
      </c>
      <c r="U146" s="102">
        <v>0.57999999999999996</v>
      </c>
      <c r="V146" s="102">
        <v>1</v>
      </c>
      <c r="W146" s="102">
        <v>0</v>
      </c>
      <c r="X146" s="102">
        <v>10</v>
      </c>
      <c r="Y146" s="102">
        <v>2.16</v>
      </c>
      <c r="Z146" s="102">
        <v>1</v>
      </c>
      <c r="AA146" s="102">
        <v>1</v>
      </c>
      <c r="AB146" s="102">
        <v>0</v>
      </c>
      <c r="AC146" s="102">
        <v>5207</v>
      </c>
      <c r="AD146" s="190">
        <v>5.594405594405595</v>
      </c>
      <c r="AE146" s="102">
        <v>1</v>
      </c>
      <c r="AF146" s="190">
        <v>2.7253408697874062</v>
      </c>
      <c r="AG146" s="190">
        <v>33.333333333333336</v>
      </c>
    </row>
    <row r="147" spans="1:33" x14ac:dyDescent="0.25">
      <c r="A147" s="102" t="s">
        <v>444</v>
      </c>
      <c r="B147" s="102" t="s">
        <v>625</v>
      </c>
      <c r="C147" s="102">
        <v>313</v>
      </c>
      <c r="D147" s="102" t="s">
        <v>678</v>
      </c>
      <c r="E147" s="102" t="s">
        <v>666</v>
      </c>
      <c r="F147" s="102">
        <f t="shared" si="2"/>
        <v>0</v>
      </c>
      <c r="G147" s="191" t="s">
        <v>709</v>
      </c>
      <c r="H147" s="102" t="s">
        <v>673</v>
      </c>
      <c r="I147" s="102">
        <v>0</v>
      </c>
      <c r="J147" s="102">
        <v>0</v>
      </c>
      <c r="K147" s="102">
        <v>0</v>
      </c>
      <c r="L147" s="102">
        <v>0</v>
      </c>
      <c r="M147" s="102">
        <v>0</v>
      </c>
      <c r="N147" s="102">
        <v>0</v>
      </c>
      <c r="O147" s="102">
        <v>0</v>
      </c>
      <c r="P147" s="102">
        <v>0</v>
      </c>
      <c r="Q147" s="190">
        <v>-3.98773006134968</v>
      </c>
      <c r="R147" s="102" t="s">
        <v>706</v>
      </c>
      <c r="S147" s="102">
        <v>1</v>
      </c>
      <c r="T147" s="102">
        <v>1</v>
      </c>
      <c r="U147" s="102">
        <v>0.61</v>
      </c>
      <c r="V147" s="102">
        <v>1</v>
      </c>
      <c r="W147" s="102">
        <v>0</v>
      </c>
      <c r="X147" s="102">
        <v>18</v>
      </c>
      <c r="Y147" s="102">
        <v>1.33</v>
      </c>
      <c r="Z147" s="102">
        <v>0</v>
      </c>
      <c r="AA147" s="102">
        <v>0</v>
      </c>
      <c r="AB147" s="102">
        <v>0</v>
      </c>
      <c r="AC147" s="102">
        <v>6735</v>
      </c>
      <c r="AD147" s="190">
        <v>1.2658227848101264</v>
      </c>
      <c r="AE147" s="102">
        <v>0</v>
      </c>
      <c r="AF147" s="190">
        <v>0</v>
      </c>
      <c r="AG147" s="190">
        <v>0</v>
      </c>
    </row>
    <row r="148" spans="1:33" ht="30" x14ac:dyDescent="0.25">
      <c r="A148" s="102" t="s">
        <v>445</v>
      </c>
      <c r="B148" s="102" t="s">
        <v>626</v>
      </c>
      <c r="C148" s="102">
        <v>617</v>
      </c>
      <c r="D148" s="102" t="s">
        <v>678</v>
      </c>
      <c r="E148" s="102" t="s">
        <v>664</v>
      </c>
      <c r="F148" s="102">
        <f t="shared" si="2"/>
        <v>0</v>
      </c>
      <c r="G148" s="191" t="s">
        <v>710</v>
      </c>
      <c r="H148" s="102" t="s">
        <v>674</v>
      </c>
      <c r="I148" s="102">
        <v>0</v>
      </c>
      <c r="J148" s="102">
        <v>0</v>
      </c>
      <c r="K148" s="102">
        <v>0</v>
      </c>
      <c r="L148" s="102">
        <v>1</v>
      </c>
      <c r="M148" s="102">
        <v>1</v>
      </c>
      <c r="N148" s="102">
        <v>0</v>
      </c>
      <c r="O148" s="102">
        <v>0</v>
      </c>
      <c r="P148" s="102">
        <v>0</v>
      </c>
      <c r="Q148" s="190">
        <v>6.7474048442906565</v>
      </c>
      <c r="R148" s="102" t="s">
        <v>705</v>
      </c>
      <c r="S148" s="102">
        <v>1</v>
      </c>
      <c r="T148" s="102">
        <v>0</v>
      </c>
      <c r="U148" s="102">
        <v>0.67</v>
      </c>
      <c r="V148" s="102">
        <v>0</v>
      </c>
      <c r="W148" s="102">
        <v>0</v>
      </c>
      <c r="X148" s="102">
        <v>56</v>
      </c>
      <c r="Y148" s="102">
        <v>-0.02</v>
      </c>
      <c r="Z148" s="102">
        <v>0</v>
      </c>
      <c r="AA148" s="102">
        <v>0</v>
      </c>
      <c r="AB148" s="102">
        <v>0</v>
      </c>
      <c r="AC148" s="102">
        <v>6237</v>
      </c>
      <c r="AD148" s="190">
        <v>4.5307443365695796</v>
      </c>
      <c r="AE148" s="102">
        <v>3</v>
      </c>
      <c r="AF148" s="190">
        <v>7.2851838252787821E-2</v>
      </c>
      <c r="AG148" s="190">
        <v>42.857142857142854</v>
      </c>
    </row>
    <row r="149" spans="1:33" ht="30" x14ac:dyDescent="0.25">
      <c r="A149" s="102" t="s">
        <v>446</v>
      </c>
      <c r="B149" s="102" t="s">
        <v>627</v>
      </c>
      <c r="C149" s="102">
        <v>295</v>
      </c>
      <c r="D149" s="102" t="s">
        <v>678</v>
      </c>
      <c r="E149" s="102" t="s">
        <v>670</v>
      </c>
      <c r="F149" s="102">
        <f t="shared" si="2"/>
        <v>0</v>
      </c>
      <c r="G149" s="191" t="s">
        <v>710</v>
      </c>
      <c r="H149" s="102" t="s">
        <v>674</v>
      </c>
      <c r="I149" s="102">
        <v>0</v>
      </c>
      <c r="J149" s="102">
        <v>0</v>
      </c>
      <c r="K149" s="102">
        <v>1</v>
      </c>
      <c r="L149" s="102">
        <v>1</v>
      </c>
      <c r="M149" s="102">
        <v>1</v>
      </c>
      <c r="N149" s="102">
        <v>0</v>
      </c>
      <c r="O149" s="102">
        <v>0</v>
      </c>
      <c r="P149" s="102">
        <v>0</v>
      </c>
      <c r="Q149" s="190">
        <v>-2.3178807947019919</v>
      </c>
      <c r="R149" s="102" t="s">
        <v>706</v>
      </c>
      <c r="S149" s="102">
        <v>1</v>
      </c>
      <c r="T149" s="102">
        <v>0</v>
      </c>
      <c r="U149" s="102">
        <v>0.64</v>
      </c>
      <c r="V149" s="102">
        <v>1</v>
      </c>
      <c r="W149" s="102">
        <v>0</v>
      </c>
      <c r="X149" s="102">
        <v>21</v>
      </c>
      <c r="Y149" s="102">
        <v>-0.15</v>
      </c>
      <c r="Z149" s="102">
        <v>0</v>
      </c>
      <c r="AA149" s="102">
        <v>1</v>
      </c>
      <c r="AB149" s="102">
        <v>0</v>
      </c>
      <c r="AC149" s="102">
        <v>16518</v>
      </c>
      <c r="AD149" s="190">
        <v>0</v>
      </c>
      <c r="AE149" s="102">
        <v>2</v>
      </c>
      <c r="AF149" s="190">
        <v>0</v>
      </c>
      <c r="AG149" s="190">
        <v>33.333333333333336</v>
      </c>
    </row>
    <row r="150" spans="1:33" x14ac:dyDescent="0.25">
      <c r="A150" s="102" t="s">
        <v>447</v>
      </c>
      <c r="B150" s="102" t="s">
        <v>628</v>
      </c>
      <c r="C150" s="102">
        <v>450</v>
      </c>
      <c r="D150" s="102" t="s">
        <v>678</v>
      </c>
      <c r="E150" s="102" t="s">
        <v>666</v>
      </c>
      <c r="F150" s="102">
        <f t="shared" si="2"/>
        <v>0</v>
      </c>
      <c r="G150" s="191" t="s">
        <v>709</v>
      </c>
      <c r="H150" s="102" t="s">
        <v>673</v>
      </c>
      <c r="I150" s="102">
        <v>0</v>
      </c>
      <c r="J150" s="102">
        <v>0</v>
      </c>
      <c r="K150" s="102">
        <v>0</v>
      </c>
      <c r="L150" s="102">
        <v>0</v>
      </c>
      <c r="M150" s="102">
        <v>0</v>
      </c>
      <c r="N150" s="102">
        <v>1</v>
      </c>
      <c r="O150" s="102">
        <v>1</v>
      </c>
      <c r="P150" s="102">
        <v>6022</v>
      </c>
      <c r="Q150" s="190">
        <v>-0.22172949002217024</v>
      </c>
      <c r="R150" s="102" t="s">
        <v>707</v>
      </c>
      <c r="S150" s="102">
        <v>0</v>
      </c>
      <c r="T150" s="102">
        <v>0</v>
      </c>
      <c r="U150" s="102">
        <v>0.65</v>
      </c>
      <c r="V150" s="102">
        <v>1</v>
      </c>
      <c r="W150" s="102">
        <v>0</v>
      </c>
      <c r="X150" s="102">
        <v>29</v>
      </c>
      <c r="Y150" s="102">
        <v>1.76</v>
      </c>
      <c r="Z150" s="102">
        <v>0</v>
      </c>
      <c r="AA150" s="102">
        <v>1</v>
      </c>
      <c r="AB150" s="102">
        <v>0</v>
      </c>
      <c r="AC150" s="102">
        <v>7343</v>
      </c>
      <c r="AD150" s="190">
        <v>0.61349693251533743</v>
      </c>
      <c r="AE150" s="102">
        <v>1</v>
      </c>
      <c r="AF150" s="190">
        <v>0.19391989303596374</v>
      </c>
      <c r="AG150" s="190">
        <v>7.1428571428571423</v>
      </c>
    </row>
    <row r="151" spans="1:33" x14ac:dyDescent="0.25">
      <c r="A151" s="102" t="s">
        <v>448</v>
      </c>
      <c r="B151" s="102" t="s">
        <v>629</v>
      </c>
      <c r="C151" s="102">
        <v>1028</v>
      </c>
      <c r="D151" s="102" t="s">
        <v>678</v>
      </c>
      <c r="E151" s="102" t="s">
        <v>666</v>
      </c>
      <c r="F151" s="102">
        <f t="shared" si="2"/>
        <v>0</v>
      </c>
      <c r="G151" s="191" t="s">
        <v>709</v>
      </c>
      <c r="H151" s="102" t="s">
        <v>673</v>
      </c>
      <c r="I151" s="102">
        <v>0</v>
      </c>
      <c r="J151" s="102">
        <v>0</v>
      </c>
      <c r="K151" s="102">
        <v>0</v>
      </c>
      <c r="L151" s="102">
        <v>0</v>
      </c>
      <c r="M151" s="102">
        <v>0</v>
      </c>
      <c r="N151" s="102">
        <v>1</v>
      </c>
      <c r="O151" s="102">
        <v>1</v>
      </c>
      <c r="P151" s="102">
        <v>2433</v>
      </c>
      <c r="Q151" s="190">
        <v>-1.2487992315081726</v>
      </c>
      <c r="R151" s="102" t="s">
        <v>707</v>
      </c>
      <c r="S151" s="102">
        <v>0</v>
      </c>
      <c r="T151" s="102">
        <v>1</v>
      </c>
      <c r="U151" s="102">
        <v>0.62</v>
      </c>
      <c r="V151" s="102">
        <v>1</v>
      </c>
      <c r="W151" s="102">
        <v>0</v>
      </c>
      <c r="X151" s="102">
        <v>45</v>
      </c>
      <c r="Y151" s="102">
        <v>6.05</v>
      </c>
      <c r="Z151" s="102">
        <v>1</v>
      </c>
      <c r="AA151" s="102">
        <v>1</v>
      </c>
      <c r="AB151" s="102">
        <v>1</v>
      </c>
      <c r="AC151" s="102">
        <v>9895</v>
      </c>
      <c r="AD151" s="190">
        <v>3.4055727554179565</v>
      </c>
      <c r="AE151" s="102">
        <v>9</v>
      </c>
      <c r="AF151" s="190">
        <v>0.2416768154036166</v>
      </c>
      <c r="AG151" s="190">
        <v>25</v>
      </c>
    </row>
    <row r="152" spans="1:33" ht="30" x14ac:dyDescent="0.25">
      <c r="A152" s="102" t="s">
        <v>449</v>
      </c>
      <c r="B152" s="102" t="s">
        <v>630</v>
      </c>
      <c r="C152" s="102">
        <v>310</v>
      </c>
      <c r="D152" s="102" t="s">
        <v>678</v>
      </c>
      <c r="E152" s="102" t="s">
        <v>670</v>
      </c>
      <c r="F152" s="102">
        <f t="shared" si="2"/>
        <v>0</v>
      </c>
      <c r="G152" s="191" t="s">
        <v>710</v>
      </c>
      <c r="H152" s="102" t="s">
        <v>674</v>
      </c>
      <c r="I152" s="102">
        <v>0</v>
      </c>
      <c r="J152" s="102">
        <v>0</v>
      </c>
      <c r="K152" s="102">
        <v>1</v>
      </c>
      <c r="L152" s="102">
        <v>1</v>
      </c>
      <c r="M152" s="102">
        <v>1</v>
      </c>
      <c r="N152" s="102">
        <v>0</v>
      </c>
      <c r="O152" s="102">
        <v>0</v>
      </c>
      <c r="P152" s="102">
        <v>0</v>
      </c>
      <c r="Q152" s="190">
        <v>4.3771043771043736</v>
      </c>
      <c r="R152" s="102" t="s">
        <v>705</v>
      </c>
      <c r="S152" s="102">
        <v>1</v>
      </c>
      <c r="T152" s="102">
        <v>0</v>
      </c>
      <c r="U152" s="102">
        <v>0.61</v>
      </c>
      <c r="V152" s="102">
        <v>1</v>
      </c>
      <c r="W152" s="102">
        <v>0</v>
      </c>
      <c r="X152" s="102">
        <v>23</v>
      </c>
      <c r="Y152" s="102">
        <v>-0.3</v>
      </c>
      <c r="Z152" s="102">
        <v>0</v>
      </c>
      <c r="AA152" s="102">
        <v>1</v>
      </c>
      <c r="AB152" s="102">
        <v>0</v>
      </c>
      <c r="AC152" s="102">
        <v>3793</v>
      </c>
      <c r="AD152" s="190">
        <v>1.3986013986013988</v>
      </c>
      <c r="AE152" s="102">
        <v>0</v>
      </c>
      <c r="AF152" s="190">
        <v>9.0069700817549878E-2</v>
      </c>
      <c r="AG152" s="190">
        <v>0</v>
      </c>
    </row>
    <row r="153" spans="1:33" x14ac:dyDescent="0.25">
      <c r="A153" s="102" t="s">
        <v>450</v>
      </c>
      <c r="B153" s="102" t="s">
        <v>631</v>
      </c>
      <c r="C153" s="102">
        <v>265</v>
      </c>
      <c r="D153" s="102" t="s">
        <v>678</v>
      </c>
      <c r="E153" s="102" t="s">
        <v>665</v>
      </c>
      <c r="F153" s="102">
        <f t="shared" si="2"/>
        <v>0</v>
      </c>
      <c r="G153" s="191" t="s">
        <v>711</v>
      </c>
      <c r="H153" s="102" t="s">
        <v>672</v>
      </c>
      <c r="I153" s="102">
        <v>0</v>
      </c>
      <c r="J153" s="102">
        <v>0</v>
      </c>
      <c r="K153" s="102">
        <v>1</v>
      </c>
      <c r="L153" s="102">
        <v>0</v>
      </c>
      <c r="M153" s="102">
        <v>0</v>
      </c>
      <c r="N153" s="102">
        <v>0</v>
      </c>
      <c r="O153" s="102">
        <v>1</v>
      </c>
      <c r="P153" s="102">
        <v>0</v>
      </c>
      <c r="Q153" s="190">
        <v>4.7430830039525773</v>
      </c>
      <c r="R153" s="102" t="s">
        <v>705</v>
      </c>
      <c r="S153" s="102">
        <v>1</v>
      </c>
      <c r="T153" s="102">
        <v>0</v>
      </c>
      <c r="U153" s="102">
        <v>0.62</v>
      </c>
      <c r="V153" s="102">
        <v>1</v>
      </c>
      <c r="W153" s="102">
        <v>0</v>
      </c>
      <c r="X153" s="102">
        <v>25</v>
      </c>
      <c r="Y153" s="102">
        <v>-0.35</v>
      </c>
      <c r="Z153" s="102">
        <v>0</v>
      </c>
      <c r="AA153" s="102">
        <v>1</v>
      </c>
      <c r="AB153" s="102">
        <v>0</v>
      </c>
      <c r="AC153" s="102">
        <v>4989</v>
      </c>
      <c r="AD153" s="190">
        <v>0</v>
      </c>
      <c r="AE153" s="102">
        <v>1</v>
      </c>
      <c r="AF153" s="190">
        <v>0</v>
      </c>
      <c r="AG153" s="190">
        <v>50</v>
      </c>
    </row>
    <row r="154" spans="1:33" ht="30" x14ac:dyDescent="0.25">
      <c r="A154" s="102" t="s">
        <v>451</v>
      </c>
      <c r="B154" s="102" t="s">
        <v>632</v>
      </c>
      <c r="C154" s="102">
        <v>1126</v>
      </c>
      <c r="D154" s="102" t="s">
        <v>678</v>
      </c>
      <c r="E154" s="102" t="s">
        <v>664</v>
      </c>
      <c r="F154" s="102">
        <f t="shared" si="2"/>
        <v>0</v>
      </c>
      <c r="G154" s="191" t="s">
        <v>710</v>
      </c>
      <c r="H154" s="102" t="s">
        <v>674</v>
      </c>
      <c r="I154" s="102">
        <v>0</v>
      </c>
      <c r="J154" s="102">
        <v>0</v>
      </c>
      <c r="K154" s="102">
        <v>0</v>
      </c>
      <c r="L154" s="102">
        <v>1</v>
      </c>
      <c r="M154" s="102">
        <v>1</v>
      </c>
      <c r="N154" s="102">
        <v>0</v>
      </c>
      <c r="O154" s="102">
        <v>0</v>
      </c>
      <c r="P154" s="102">
        <v>3259</v>
      </c>
      <c r="Q154" s="190">
        <v>0.89605734767025069</v>
      </c>
      <c r="R154" s="102" t="s">
        <v>707</v>
      </c>
      <c r="S154" s="102">
        <v>1</v>
      </c>
      <c r="T154" s="102">
        <v>0</v>
      </c>
      <c r="U154" s="102">
        <v>0.69</v>
      </c>
      <c r="V154" s="102">
        <v>0</v>
      </c>
      <c r="W154" s="102">
        <v>1</v>
      </c>
      <c r="X154" s="102">
        <v>66</v>
      </c>
      <c r="Y154" s="102">
        <v>-0.01</v>
      </c>
      <c r="Z154" s="102">
        <v>0</v>
      </c>
      <c r="AA154" s="102">
        <v>1</v>
      </c>
      <c r="AB154" s="102">
        <v>0</v>
      </c>
      <c r="AC154" s="102">
        <v>6348</v>
      </c>
      <c r="AD154" s="190">
        <v>0.18832391713747648</v>
      </c>
      <c r="AE154" s="102">
        <v>0</v>
      </c>
      <c r="AF154" s="190">
        <v>0</v>
      </c>
      <c r="AG154" s="190">
        <v>0</v>
      </c>
    </row>
    <row r="155" spans="1:33" x14ac:dyDescent="0.25">
      <c r="A155" s="102" t="s">
        <v>452</v>
      </c>
      <c r="B155" s="102" t="s">
        <v>245</v>
      </c>
      <c r="C155" s="102">
        <v>63065</v>
      </c>
      <c r="D155" s="102" t="s">
        <v>679</v>
      </c>
      <c r="E155" s="102" t="s">
        <v>666</v>
      </c>
      <c r="F155" s="102">
        <f t="shared" si="2"/>
        <v>1</v>
      </c>
      <c r="G155" s="191" t="s">
        <v>712</v>
      </c>
      <c r="H155" s="102" t="s">
        <v>677</v>
      </c>
      <c r="I155" s="102">
        <v>0</v>
      </c>
      <c r="J155" s="102">
        <v>1</v>
      </c>
      <c r="K155" s="102">
        <v>0</v>
      </c>
      <c r="L155" s="102">
        <v>1</v>
      </c>
      <c r="M155" s="102">
        <v>1</v>
      </c>
      <c r="N155" s="102">
        <v>1</v>
      </c>
      <c r="O155" s="102">
        <v>1</v>
      </c>
      <c r="P155" s="102">
        <v>167774</v>
      </c>
      <c r="Q155" s="190">
        <v>1.903469226170273</v>
      </c>
      <c r="R155" s="102" t="s">
        <v>707</v>
      </c>
      <c r="S155" s="102">
        <v>0</v>
      </c>
      <c r="T155" s="102">
        <v>1</v>
      </c>
      <c r="U155" s="102">
        <v>0.77</v>
      </c>
      <c r="V155" s="102">
        <v>0</v>
      </c>
      <c r="W155" s="102">
        <v>1</v>
      </c>
      <c r="X155" s="102">
        <v>3578</v>
      </c>
      <c r="Y155" s="102">
        <v>3.9</v>
      </c>
      <c r="Z155" s="102">
        <v>1</v>
      </c>
      <c r="AA155" s="102">
        <v>1</v>
      </c>
      <c r="AB155" s="102">
        <v>1</v>
      </c>
      <c r="AC155" s="102">
        <v>40460</v>
      </c>
      <c r="AD155" s="190">
        <v>0.24085725521038145</v>
      </c>
      <c r="AE155" s="102">
        <v>40</v>
      </c>
      <c r="AF155" s="190">
        <v>2.5524040554134476E-2</v>
      </c>
      <c r="AG155" s="190">
        <v>1.3778849466069583</v>
      </c>
    </row>
    <row r="156" spans="1:33" x14ac:dyDescent="0.25">
      <c r="A156" s="102" t="s">
        <v>453</v>
      </c>
      <c r="B156" s="102" t="s">
        <v>633</v>
      </c>
      <c r="C156" s="102">
        <v>848</v>
      </c>
      <c r="D156" s="102" t="s">
        <v>678</v>
      </c>
      <c r="E156" s="102" t="s">
        <v>666</v>
      </c>
      <c r="F156" s="102">
        <f t="shared" si="2"/>
        <v>0</v>
      </c>
      <c r="G156" s="191" t="s">
        <v>709</v>
      </c>
      <c r="H156" s="102" t="s">
        <v>673</v>
      </c>
      <c r="I156" s="102">
        <v>0</v>
      </c>
      <c r="J156" s="102">
        <v>0</v>
      </c>
      <c r="K156" s="102">
        <v>0</v>
      </c>
      <c r="L156" s="102">
        <v>0</v>
      </c>
      <c r="M156" s="102">
        <v>0</v>
      </c>
      <c r="N156" s="102">
        <v>1</v>
      </c>
      <c r="O156" s="102">
        <v>0</v>
      </c>
      <c r="P156" s="102">
        <v>0</v>
      </c>
      <c r="Q156" s="190">
        <v>0.11806375442738215</v>
      </c>
      <c r="R156" s="102" t="s">
        <v>707</v>
      </c>
      <c r="S156" s="102">
        <v>0</v>
      </c>
      <c r="T156" s="102">
        <v>1</v>
      </c>
      <c r="U156" s="102">
        <v>0.68</v>
      </c>
      <c r="V156" s="102">
        <v>0</v>
      </c>
      <c r="W156" s="102">
        <v>0</v>
      </c>
      <c r="X156" s="102">
        <v>48</v>
      </c>
      <c r="Y156" s="102">
        <v>0.23</v>
      </c>
      <c r="Z156" s="102">
        <v>0</v>
      </c>
      <c r="AA156" s="102">
        <v>1</v>
      </c>
      <c r="AB156" s="102">
        <v>0</v>
      </c>
      <c r="AC156" s="102">
        <v>60214</v>
      </c>
      <c r="AD156" s="190">
        <v>2.770083102493075</v>
      </c>
      <c r="AE156" s="102">
        <v>9</v>
      </c>
      <c r="AF156" s="190">
        <v>0.16595502387902181</v>
      </c>
      <c r="AG156" s="190">
        <v>33.333333333333329</v>
      </c>
    </row>
    <row r="157" spans="1:33" x14ac:dyDescent="0.25">
      <c r="A157" s="102" t="s">
        <v>454</v>
      </c>
      <c r="B157" s="102" t="s">
        <v>634</v>
      </c>
      <c r="C157" s="102">
        <v>1342</v>
      </c>
      <c r="D157" s="102" t="s">
        <v>678</v>
      </c>
      <c r="E157" s="102" t="s">
        <v>666</v>
      </c>
      <c r="F157" s="102">
        <f t="shared" si="2"/>
        <v>0</v>
      </c>
      <c r="G157" s="191" t="s">
        <v>709</v>
      </c>
      <c r="H157" s="102" t="s">
        <v>673</v>
      </c>
      <c r="I157" s="102">
        <v>0</v>
      </c>
      <c r="J157" s="102">
        <v>0</v>
      </c>
      <c r="K157" s="102">
        <v>0</v>
      </c>
      <c r="L157" s="102">
        <v>0</v>
      </c>
      <c r="M157" s="102">
        <v>0</v>
      </c>
      <c r="N157" s="102">
        <v>0</v>
      </c>
      <c r="O157" s="102">
        <v>0</v>
      </c>
      <c r="P157" s="102">
        <v>242</v>
      </c>
      <c r="Q157" s="190">
        <v>5.2549019607843093</v>
      </c>
      <c r="R157" s="102" t="s">
        <v>705</v>
      </c>
      <c r="S157" s="102">
        <v>0</v>
      </c>
      <c r="T157" s="102">
        <v>1</v>
      </c>
      <c r="U157" s="102">
        <v>0.74</v>
      </c>
      <c r="V157" s="102">
        <v>0</v>
      </c>
      <c r="W157" s="102">
        <v>1</v>
      </c>
      <c r="X157" s="102">
        <v>108</v>
      </c>
      <c r="Y157" s="102">
        <v>6.94</v>
      </c>
      <c r="Z157" s="102">
        <v>1</v>
      </c>
      <c r="AA157" s="102">
        <v>1</v>
      </c>
      <c r="AB157" s="102">
        <v>0</v>
      </c>
      <c r="AC157" s="102">
        <v>213431</v>
      </c>
      <c r="AD157" s="190">
        <v>0.37735849056603776</v>
      </c>
      <c r="AE157" s="102">
        <v>3</v>
      </c>
      <c r="AF157" s="190">
        <v>0.21681798381345238</v>
      </c>
      <c r="AG157" s="190">
        <v>9.67741935483871</v>
      </c>
    </row>
    <row r="158" spans="1:33" x14ac:dyDescent="0.25">
      <c r="A158" s="102" t="s">
        <v>455</v>
      </c>
      <c r="B158" s="102" t="s">
        <v>635</v>
      </c>
      <c r="C158" s="102">
        <v>296</v>
      </c>
      <c r="D158" s="102" t="s">
        <v>678</v>
      </c>
      <c r="E158" s="102" t="s">
        <v>665</v>
      </c>
      <c r="F158" s="102">
        <f t="shared" si="2"/>
        <v>0</v>
      </c>
      <c r="G158" s="191" t="s">
        <v>711</v>
      </c>
      <c r="H158" s="102" t="s">
        <v>672</v>
      </c>
      <c r="I158" s="102">
        <v>0</v>
      </c>
      <c r="J158" s="102">
        <v>0</v>
      </c>
      <c r="K158" s="102">
        <v>1</v>
      </c>
      <c r="L158" s="102">
        <v>0</v>
      </c>
      <c r="M158" s="102">
        <v>0</v>
      </c>
      <c r="N158" s="102">
        <v>0</v>
      </c>
      <c r="O158" s="102">
        <v>0</v>
      </c>
      <c r="P158" s="102">
        <v>0</v>
      </c>
      <c r="Q158" s="190">
        <v>6.0931899641577019</v>
      </c>
      <c r="R158" s="102" t="s">
        <v>705</v>
      </c>
      <c r="S158" s="102">
        <v>0</v>
      </c>
      <c r="T158" s="102">
        <v>0</v>
      </c>
      <c r="U158" s="102">
        <v>0.65</v>
      </c>
      <c r="V158" s="102">
        <v>1</v>
      </c>
      <c r="W158" s="102">
        <v>0</v>
      </c>
      <c r="X158" s="102">
        <v>17</v>
      </c>
      <c r="Y158" s="102">
        <v>0.1</v>
      </c>
      <c r="Z158" s="102">
        <v>0</v>
      </c>
      <c r="AA158" s="102">
        <v>0</v>
      </c>
      <c r="AB158" s="102">
        <v>0</v>
      </c>
      <c r="AC158" s="102">
        <v>35596</v>
      </c>
      <c r="AD158" s="190">
        <v>6.0606060606060606</v>
      </c>
      <c r="AE158" s="102">
        <v>2</v>
      </c>
      <c r="AF158" s="190">
        <v>0</v>
      </c>
      <c r="AG158" s="190">
        <v>40</v>
      </c>
    </row>
    <row r="159" spans="1:33" x14ac:dyDescent="0.25">
      <c r="A159" s="102" t="s">
        <v>456</v>
      </c>
      <c r="B159" s="102" t="s">
        <v>636</v>
      </c>
      <c r="C159" s="102">
        <v>423</v>
      </c>
      <c r="D159" s="102" t="s">
        <v>678</v>
      </c>
      <c r="E159" s="102" t="s">
        <v>666</v>
      </c>
      <c r="F159" s="102">
        <f t="shared" si="2"/>
        <v>0</v>
      </c>
      <c r="G159" s="191" t="s">
        <v>709</v>
      </c>
      <c r="H159" s="102" t="s">
        <v>673</v>
      </c>
      <c r="I159" s="102">
        <v>0</v>
      </c>
      <c r="J159" s="102">
        <v>0</v>
      </c>
      <c r="K159" s="102">
        <v>0</v>
      </c>
      <c r="L159" s="102">
        <v>0</v>
      </c>
      <c r="M159" s="102">
        <v>0</v>
      </c>
      <c r="N159" s="102">
        <v>0</v>
      </c>
      <c r="O159" s="102">
        <v>1</v>
      </c>
      <c r="P159" s="102">
        <v>50</v>
      </c>
      <c r="Q159" s="190">
        <v>2.6699029126213532</v>
      </c>
      <c r="R159" s="102" t="s">
        <v>705</v>
      </c>
      <c r="S159" s="102">
        <v>1</v>
      </c>
      <c r="T159" s="102">
        <v>0</v>
      </c>
      <c r="U159" s="102">
        <v>0.6</v>
      </c>
      <c r="V159" s="102">
        <v>1</v>
      </c>
      <c r="W159" s="102">
        <v>0</v>
      </c>
      <c r="X159" s="102">
        <v>27</v>
      </c>
      <c r="Y159" s="102">
        <v>0.08</v>
      </c>
      <c r="Z159" s="102">
        <v>0</v>
      </c>
      <c r="AA159" s="102">
        <v>0</v>
      </c>
      <c r="AB159" s="102">
        <v>0</v>
      </c>
      <c r="AC159" s="102">
        <v>9859</v>
      </c>
      <c r="AD159" s="190">
        <v>1.9607843137254901</v>
      </c>
      <c r="AE159" s="102">
        <v>5</v>
      </c>
      <c r="AF159" s="190">
        <v>0.3961831454955384</v>
      </c>
      <c r="AG159" s="190">
        <v>31.25</v>
      </c>
    </row>
    <row r="160" spans="1:33" x14ac:dyDescent="0.25">
      <c r="A160" s="102" t="s">
        <v>457</v>
      </c>
      <c r="B160" s="102" t="s">
        <v>637</v>
      </c>
      <c r="C160" s="102">
        <v>2105</v>
      </c>
      <c r="D160" s="102" t="s">
        <v>678</v>
      </c>
      <c r="E160" s="102" t="s">
        <v>665</v>
      </c>
      <c r="F160" s="102">
        <f t="shared" si="2"/>
        <v>0</v>
      </c>
      <c r="G160" s="191" t="s">
        <v>711</v>
      </c>
      <c r="H160" s="102" t="s">
        <v>672</v>
      </c>
      <c r="I160" s="102">
        <v>0</v>
      </c>
      <c r="J160" s="102">
        <v>0</v>
      </c>
      <c r="K160" s="102">
        <v>1</v>
      </c>
      <c r="L160" s="102">
        <v>0</v>
      </c>
      <c r="M160" s="102">
        <v>0</v>
      </c>
      <c r="N160" s="102">
        <v>0</v>
      </c>
      <c r="O160" s="102">
        <v>1</v>
      </c>
      <c r="P160" s="102">
        <v>0</v>
      </c>
      <c r="Q160" s="190">
        <v>3.8993089832181624</v>
      </c>
      <c r="R160" s="102" t="s">
        <v>705</v>
      </c>
      <c r="S160" s="102">
        <v>1</v>
      </c>
      <c r="T160" s="102">
        <v>0</v>
      </c>
      <c r="U160" s="102">
        <v>0.69</v>
      </c>
      <c r="V160" s="102">
        <v>0</v>
      </c>
      <c r="W160" s="102">
        <v>1</v>
      </c>
      <c r="X160" s="102">
        <v>159</v>
      </c>
      <c r="Y160" s="102">
        <v>0.06</v>
      </c>
      <c r="Z160" s="102">
        <v>0</v>
      </c>
      <c r="AA160" s="102">
        <v>1</v>
      </c>
      <c r="AB160" s="102">
        <v>0</v>
      </c>
      <c r="AC160" s="102">
        <v>40768</v>
      </c>
      <c r="AD160" s="190">
        <v>1.5053763440860215</v>
      </c>
      <c r="AE160" s="102">
        <v>4</v>
      </c>
      <c r="AF160" s="190">
        <v>0.66210357435221556</v>
      </c>
      <c r="AG160" s="190">
        <v>10</v>
      </c>
    </row>
    <row r="161" spans="1:33" x14ac:dyDescent="0.25">
      <c r="A161" s="102" t="s">
        <v>458</v>
      </c>
      <c r="B161" s="102" t="s">
        <v>638</v>
      </c>
      <c r="C161" s="102">
        <v>988</v>
      </c>
      <c r="D161" s="102" t="s">
        <v>678</v>
      </c>
      <c r="E161" s="102" t="s">
        <v>667</v>
      </c>
      <c r="F161" s="102">
        <f t="shared" si="2"/>
        <v>0</v>
      </c>
      <c r="G161" s="191" t="s">
        <v>711</v>
      </c>
      <c r="H161" s="102" t="s">
        <v>672</v>
      </c>
      <c r="I161" s="102">
        <v>0</v>
      </c>
      <c r="J161" s="102">
        <v>0</v>
      </c>
      <c r="K161" s="102">
        <v>1</v>
      </c>
      <c r="L161" s="102">
        <v>0</v>
      </c>
      <c r="M161" s="102">
        <v>0</v>
      </c>
      <c r="N161" s="102">
        <v>0</v>
      </c>
      <c r="O161" s="102">
        <v>0</v>
      </c>
      <c r="P161" s="102">
        <v>0</v>
      </c>
      <c r="Q161" s="190">
        <v>7.8602620087336277</v>
      </c>
      <c r="R161" s="102" t="s">
        <v>705</v>
      </c>
      <c r="S161" s="102">
        <v>0</v>
      </c>
      <c r="T161" s="102">
        <v>0</v>
      </c>
      <c r="U161" s="102">
        <v>0.68</v>
      </c>
      <c r="V161" s="102">
        <v>0</v>
      </c>
      <c r="W161" s="102">
        <v>0</v>
      </c>
      <c r="X161" s="102">
        <v>95</v>
      </c>
      <c r="Y161" s="102">
        <v>-0.5</v>
      </c>
      <c r="Z161" s="102">
        <v>0</v>
      </c>
      <c r="AA161" s="102">
        <v>1</v>
      </c>
      <c r="AB161" s="102">
        <v>0</v>
      </c>
      <c r="AC161" s="102">
        <v>19734</v>
      </c>
      <c r="AD161" s="190">
        <v>1.0335917312661498</v>
      </c>
      <c r="AE161" s="102">
        <v>0</v>
      </c>
      <c r="AF161" s="190">
        <v>0.70820282112052735</v>
      </c>
      <c r="AG161" s="190">
        <v>0</v>
      </c>
    </row>
    <row r="162" spans="1:33" ht="30" x14ac:dyDescent="0.25">
      <c r="A162" s="102" t="s">
        <v>459</v>
      </c>
      <c r="B162" s="102" t="s">
        <v>639</v>
      </c>
      <c r="C162" s="102">
        <v>791</v>
      </c>
      <c r="D162" s="102" t="s">
        <v>678</v>
      </c>
      <c r="E162" s="102" t="s">
        <v>668</v>
      </c>
      <c r="F162" s="102">
        <f t="shared" si="2"/>
        <v>0</v>
      </c>
      <c r="G162" s="191" t="s">
        <v>710</v>
      </c>
      <c r="H162" s="102" t="s">
        <v>674</v>
      </c>
      <c r="I162" s="102">
        <v>1</v>
      </c>
      <c r="J162" s="102">
        <v>0</v>
      </c>
      <c r="K162" s="102">
        <v>1</v>
      </c>
      <c r="L162" s="102">
        <v>1</v>
      </c>
      <c r="M162" s="102">
        <v>1</v>
      </c>
      <c r="N162" s="102">
        <v>0</v>
      </c>
      <c r="O162" s="102">
        <v>0</v>
      </c>
      <c r="P162" s="102">
        <v>0</v>
      </c>
      <c r="Q162" s="190">
        <v>2.7272727272727195</v>
      </c>
      <c r="R162" s="102" t="s">
        <v>705</v>
      </c>
      <c r="S162" s="102">
        <v>1</v>
      </c>
      <c r="T162" s="102">
        <v>0</v>
      </c>
      <c r="U162" s="102">
        <v>0.64</v>
      </c>
      <c r="V162" s="102">
        <v>1</v>
      </c>
      <c r="W162" s="102">
        <v>0</v>
      </c>
      <c r="X162" s="102">
        <v>49</v>
      </c>
      <c r="Y162" s="102">
        <v>0</v>
      </c>
      <c r="Z162" s="102">
        <v>0</v>
      </c>
      <c r="AA162" s="102">
        <v>1</v>
      </c>
      <c r="AB162" s="102">
        <v>0</v>
      </c>
      <c r="AC162" s="102">
        <v>4315</v>
      </c>
      <c r="AD162" s="190">
        <v>0.27027027027027023</v>
      </c>
      <c r="AE162" s="102">
        <v>0</v>
      </c>
      <c r="AF162" s="190">
        <v>0</v>
      </c>
      <c r="AG162" s="190">
        <v>0</v>
      </c>
    </row>
    <row r="163" spans="1:33" x14ac:dyDescent="0.25">
      <c r="A163" s="102" t="s">
        <v>460</v>
      </c>
      <c r="B163" s="102" t="s">
        <v>640</v>
      </c>
      <c r="C163" s="102">
        <v>1377</v>
      </c>
      <c r="D163" s="102" t="s">
        <v>678</v>
      </c>
      <c r="E163" s="102" t="s">
        <v>665</v>
      </c>
      <c r="F163" s="102">
        <f t="shared" si="2"/>
        <v>0</v>
      </c>
      <c r="G163" s="191" t="s">
        <v>711</v>
      </c>
      <c r="H163" s="102" t="s">
        <v>672</v>
      </c>
      <c r="I163" s="102">
        <v>0</v>
      </c>
      <c r="J163" s="102">
        <v>0</v>
      </c>
      <c r="K163" s="102">
        <v>1</v>
      </c>
      <c r="L163" s="102">
        <v>0</v>
      </c>
      <c r="M163" s="102">
        <v>0</v>
      </c>
      <c r="N163" s="102">
        <v>0</v>
      </c>
      <c r="O163" s="102">
        <v>0</v>
      </c>
      <c r="P163" s="102">
        <v>0</v>
      </c>
      <c r="Q163" s="190">
        <v>4.1603630862329766</v>
      </c>
      <c r="R163" s="102" t="s">
        <v>705</v>
      </c>
      <c r="S163" s="102">
        <v>0</v>
      </c>
      <c r="T163" s="102">
        <v>0</v>
      </c>
      <c r="U163" s="102">
        <v>0.65</v>
      </c>
      <c r="V163" s="102">
        <v>1</v>
      </c>
      <c r="W163" s="102">
        <v>0</v>
      </c>
      <c r="X163" s="102">
        <v>95</v>
      </c>
      <c r="Y163" s="102">
        <v>0.01</v>
      </c>
      <c r="Z163" s="102">
        <v>0</v>
      </c>
      <c r="AA163" s="102">
        <v>1</v>
      </c>
      <c r="AB163" s="102">
        <v>0</v>
      </c>
      <c r="AC163" s="102">
        <v>13199</v>
      </c>
      <c r="AD163" s="190">
        <v>4.1739130434782608</v>
      </c>
      <c r="AE163" s="102">
        <v>3</v>
      </c>
      <c r="AF163" s="190">
        <v>0.4960206396652343</v>
      </c>
      <c r="AG163" s="190">
        <v>8.3333333333333339</v>
      </c>
    </row>
    <row r="164" spans="1:33" x14ac:dyDescent="0.25">
      <c r="A164" s="102" t="s">
        <v>461</v>
      </c>
      <c r="B164" s="102" t="s">
        <v>641</v>
      </c>
      <c r="C164" s="102">
        <v>737</v>
      </c>
      <c r="D164" s="102" t="s">
        <v>678</v>
      </c>
      <c r="E164" s="102" t="s">
        <v>665</v>
      </c>
      <c r="F164" s="102">
        <f t="shared" si="2"/>
        <v>0</v>
      </c>
      <c r="G164" s="191" t="s">
        <v>711</v>
      </c>
      <c r="H164" s="102" t="s">
        <v>672</v>
      </c>
      <c r="I164" s="102">
        <v>0</v>
      </c>
      <c r="J164" s="102">
        <v>0</v>
      </c>
      <c r="K164" s="102">
        <v>1</v>
      </c>
      <c r="L164" s="102">
        <v>0</v>
      </c>
      <c r="M164" s="102">
        <v>0</v>
      </c>
      <c r="N164" s="102">
        <v>0</v>
      </c>
      <c r="O164" s="102">
        <v>0</v>
      </c>
      <c r="P164" s="102">
        <v>0</v>
      </c>
      <c r="Q164" s="190">
        <v>13.036809815950932</v>
      </c>
      <c r="R164" s="102" t="s">
        <v>705</v>
      </c>
      <c r="S164" s="102">
        <v>0</v>
      </c>
      <c r="T164" s="102">
        <v>0</v>
      </c>
      <c r="U164" s="102">
        <v>0.6</v>
      </c>
      <c r="V164" s="102">
        <v>1</v>
      </c>
      <c r="W164" s="102">
        <v>0</v>
      </c>
      <c r="X164" s="102">
        <v>45</v>
      </c>
      <c r="Y164" s="102">
        <v>-0.01</v>
      </c>
      <c r="Z164" s="102">
        <v>0</v>
      </c>
      <c r="AA164" s="102">
        <v>0</v>
      </c>
      <c r="AB164" s="102">
        <v>0</v>
      </c>
      <c r="AC164" s="102">
        <v>18516</v>
      </c>
      <c r="AD164" s="190">
        <v>1.2121212121212122</v>
      </c>
      <c r="AE164" s="102">
        <v>3</v>
      </c>
      <c r="AF164" s="190">
        <v>0.12482588064732904</v>
      </c>
      <c r="AG164" s="190">
        <v>16.666666666666668</v>
      </c>
    </row>
    <row r="165" spans="1:33" ht="30" x14ac:dyDescent="0.25">
      <c r="A165" s="102" t="s">
        <v>462</v>
      </c>
      <c r="B165" s="102" t="s">
        <v>642</v>
      </c>
      <c r="C165" s="102">
        <v>750</v>
      </c>
      <c r="D165" s="102" t="s">
        <v>678</v>
      </c>
      <c r="E165" s="102" t="s">
        <v>670</v>
      </c>
      <c r="F165" s="102">
        <f t="shared" si="2"/>
        <v>0</v>
      </c>
      <c r="G165" s="191" t="s">
        <v>710</v>
      </c>
      <c r="H165" s="102" t="s">
        <v>674</v>
      </c>
      <c r="I165" s="102">
        <v>0</v>
      </c>
      <c r="J165" s="102">
        <v>0</v>
      </c>
      <c r="K165" s="102">
        <v>1</v>
      </c>
      <c r="L165" s="102">
        <v>1</v>
      </c>
      <c r="M165" s="102">
        <v>1</v>
      </c>
      <c r="N165" s="102">
        <v>0</v>
      </c>
      <c r="O165" s="102">
        <v>0</v>
      </c>
      <c r="P165" s="102">
        <v>0</v>
      </c>
      <c r="Q165" s="190">
        <v>4.0221914008321846</v>
      </c>
      <c r="R165" s="102" t="s">
        <v>705</v>
      </c>
      <c r="S165" s="102">
        <v>1</v>
      </c>
      <c r="T165" s="102">
        <v>0</v>
      </c>
      <c r="U165" s="102">
        <v>0.69</v>
      </c>
      <c r="V165" s="102">
        <v>0</v>
      </c>
      <c r="W165" s="102">
        <v>1</v>
      </c>
      <c r="X165" s="102">
        <v>50</v>
      </c>
      <c r="Y165" s="102">
        <v>7.0000000000000007E-2</v>
      </c>
      <c r="Z165" s="102">
        <v>0</v>
      </c>
      <c r="AA165" s="102">
        <v>1</v>
      </c>
      <c r="AB165" s="102">
        <v>1</v>
      </c>
      <c r="AC165" s="102">
        <v>7309</v>
      </c>
      <c r="AD165" s="190">
        <v>1.1111111111111112</v>
      </c>
      <c r="AE165" s="102">
        <v>4</v>
      </c>
      <c r="AF165" s="190">
        <v>0.19677293974077276</v>
      </c>
      <c r="AG165" s="190">
        <v>22.222222222222221</v>
      </c>
    </row>
    <row r="166" spans="1:33" ht="30" x14ac:dyDescent="0.25">
      <c r="A166" s="102" t="s">
        <v>463</v>
      </c>
      <c r="B166" s="102" t="s">
        <v>643</v>
      </c>
      <c r="C166" s="102">
        <v>966</v>
      </c>
      <c r="D166" s="102" t="s">
        <v>678</v>
      </c>
      <c r="E166" s="102" t="s">
        <v>670</v>
      </c>
      <c r="F166" s="102">
        <f t="shared" si="2"/>
        <v>0</v>
      </c>
      <c r="G166" s="191" t="s">
        <v>710</v>
      </c>
      <c r="H166" s="102" t="s">
        <v>674</v>
      </c>
      <c r="I166" s="102">
        <v>0</v>
      </c>
      <c r="J166" s="102">
        <v>0</v>
      </c>
      <c r="K166" s="102">
        <v>1</v>
      </c>
      <c r="L166" s="102">
        <v>1</v>
      </c>
      <c r="M166" s="102">
        <v>1</v>
      </c>
      <c r="N166" s="102">
        <v>0</v>
      </c>
      <c r="O166" s="102">
        <v>0</v>
      </c>
      <c r="P166" s="102">
        <v>0</v>
      </c>
      <c r="Q166" s="190">
        <v>0.41580041580041893</v>
      </c>
      <c r="R166" s="102" t="s">
        <v>707</v>
      </c>
      <c r="S166" s="102">
        <v>1</v>
      </c>
      <c r="T166" s="102">
        <v>0</v>
      </c>
      <c r="U166" s="102">
        <v>0.68</v>
      </c>
      <c r="V166" s="102">
        <v>0</v>
      </c>
      <c r="W166" s="102">
        <v>0</v>
      </c>
      <c r="X166" s="102">
        <v>68</v>
      </c>
      <c r="Y166" s="102">
        <v>0.24</v>
      </c>
      <c r="Z166" s="102">
        <v>0</v>
      </c>
      <c r="AA166" s="102">
        <v>1</v>
      </c>
      <c r="AB166" s="102">
        <v>0</v>
      </c>
      <c r="AC166" s="102">
        <v>9859</v>
      </c>
      <c r="AD166" s="190">
        <v>0.83507306889352817</v>
      </c>
      <c r="AE166" s="102">
        <v>2</v>
      </c>
      <c r="AF166" s="190">
        <v>0</v>
      </c>
      <c r="AG166" s="190">
        <v>1.7543859649122808</v>
      </c>
    </row>
    <row r="167" spans="1:33" ht="30" x14ac:dyDescent="0.25">
      <c r="A167" s="102" t="s">
        <v>464</v>
      </c>
      <c r="B167" s="102" t="s">
        <v>644</v>
      </c>
      <c r="C167" s="102">
        <v>409</v>
      </c>
      <c r="D167" s="102" t="s">
        <v>678</v>
      </c>
      <c r="E167" s="102" t="s">
        <v>670</v>
      </c>
      <c r="F167" s="102">
        <f t="shared" si="2"/>
        <v>0</v>
      </c>
      <c r="G167" s="191" t="s">
        <v>710</v>
      </c>
      <c r="H167" s="102" t="s">
        <v>674</v>
      </c>
      <c r="I167" s="102">
        <v>0</v>
      </c>
      <c r="J167" s="102">
        <v>0</v>
      </c>
      <c r="K167" s="102">
        <v>1</v>
      </c>
      <c r="L167" s="102">
        <v>1</v>
      </c>
      <c r="M167" s="102">
        <v>1</v>
      </c>
      <c r="N167" s="102">
        <v>0</v>
      </c>
      <c r="O167" s="102">
        <v>0</v>
      </c>
      <c r="P167" s="102">
        <v>0</v>
      </c>
      <c r="Q167" s="190">
        <v>1.9950124688279374</v>
      </c>
      <c r="R167" s="102" t="s">
        <v>707</v>
      </c>
      <c r="S167" s="102">
        <v>0</v>
      </c>
      <c r="T167" s="102">
        <v>0</v>
      </c>
      <c r="U167" s="102">
        <v>0.79</v>
      </c>
      <c r="V167" s="102">
        <v>0</v>
      </c>
      <c r="W167" s="102">
        <v>1</v>
      </c>
      <c r="X167" s="102">
        <v>28</v>
      </c>
      <c r="Y167" s="102">
        <v>7.51</v>
      </c>
      <c r="Z167" s="102">
        <v>1</v>
      </c>
      <c r="AA167" s="102">
        <v>1</v>
      </c>
      <c r="AB167" s="102">
        <v>0</v>
      </c>
      <c r="AC167" s="102">
        <v>9859</v>
      </c>
      <c r="AD167" s="190">
        <v>0.46296296296296291</v>
      </c>
      <c r="AE167" s="102">
        <v>1</v>
      </c>
      <c r="AF167" s="190">
        <v>0.97783966359413776</v>
      </c>
      <c r="AG167" s="190">
        <v>4.5454545454545459</v>
      </c>
    </row>
    <row r="168" spans="1:33" x14ac:dyDescent="0.25">
      <c r="A168" s="102" t="s">
        <v>465</v>
      </c>
      <c r="B168" s="102" t="s">
        <v>645</v>
      </c>
      <c r="C168" s="102">
        <v>161</v>
      </c>
      <c r="D168" s="102" t="s">
        <v>678</v>
      </c>
      <c r="E168" s="102" t="s">
        <v>665</v>
      </c>
      <c r="F168" s="102">
        <f t="shared" si="2"/>
        <v>0</v>
      </c>
      <c r="G168" s="191" t="s">
        <v>711</v>
      </c>
      <c r="H168" s="102" t="s">
        <v>672</v>
      </c>
      <c r="I168" s="102">
        <v>0</v>
      </c>
      <c r="J168" s="102">
        <v>0</v>
      </c>
      <c r="K168" s="102">
        <v>1</v>
      </c>
      <c r="L168" s="102">
        <v>0</v>
      </c>
      <c r="M168" s="102">
        <v>0</v>
      </c>
      <c r="N168" s="102">
        <v>0</v>
      </c>
      <c r="O168" s="102">
        <v>1</v>
      </c>
      <c r="P168" s="102">
        <v>0</v>
      </c>
      <c r="Q168" s="190">
        <v>-6.3953488372092977</v>
      </c>
      <c r="R168" s="102" t="s">
        <v>706</v>
      </c>
      <c r="S168" s="102">
        <v>0</v>
      </c>
      <c r="T168" s="102">
        <v>0</v>
      </c>
      <c r="U168" s="102">
        <v>0.56999999999999995</v>
      </c>
      <c r="V168" s="102">
        <v>1</v>
      </c>
      <c r="W168" s="102">
        <v>0</v>
      </c>
      <c r="X168" s="102">
        <v>10</v>
      </c>
      <c r="Y168" s="102">
        <v>3.14</v>
      </c>
      <c r="Z168" s="102">
        <v>1</v>
      </c>
      <c r="AA168" s="102">
        <v>1</v>
      </c>
      <c r="AB168" s="102">
        <v>0</v>
      </c>
      <c r="AC168" s="102">
        <v>2849</v>
      </c>
      <c r="AD168" s="190">
        <v>0</v>
      </c>
      <c r="AE168" s="102">
        <v>1</v>
      </c>
      <c r="AF168" s="190">
        <v>0</v>
      </c>
      <c r="AG168" s="190">
        <v>14.285714285714285</v>
      </c>
    </row>
    <row r="169" spans="1:33" ht="30" x14ac:dyDescent="0.25">
      <c r="A169" s="102" t="s">
        <v>466</v>
      </c>
      <c r="B169" s="102" t="s">
        <v>646</v>
      </c>
      <c r="C169" s="102">
        <v>1704</v>
      </c>
      <c r="D169" s="102" t="s">
        <v>678</v>
      </c>
      <c r="E169" s="102" t="s">
        <v>664</v>
      </c>
      <c r="F169" s="102">
        <f t="shared" si="2"/>
        <v>0</v>
      </c>
      <c r="G169" s="191" t="s">
        <v>710</v>
      </c>
      <c r="H169" s="102" t="s">
        <v>674</v>
      </c>
      <c r="I169" s="102">
        <v>0</v>
      </c>
      <c r="J169" s="102">
        <v>0</v>
      </c>
      <c r="K169" s="102">
        <v>0</v>
      </c>
      <c r="L169" s="102">
        <v>1</v>
      </c>
      <c r="M169" s="102">
        <v>1</v>
      </c>
      <c r="N169" s="102">
        <v>0</v>
      </c>
      <c r="O169" s="102">
        <v>0</v>
      </c>
      <c r="P169" s="102">
        <v>244</v>
      </c>
      <c r="Q169" s="190">
        <v>7.237256135934544</v>
      </c>
      <c r="R169" s="102" t="s">
        <v>705</v>
      </c>
      <c r="S169" s="102">
        <v>0</v>
      </c>
      <c r="T169" s="102">
        <v>0</v>
      </c>
      <c r="U169" s="102">
        <v>0.73</v>
      </c>
      <c r="V169" s="102">
        <v>0</v>
      </c>
      <c r="W169" s="102">
        <v>1</v>
      </c>
      <c r="X169" s="102">
        <v>127</v>
      </c>
      <c r="Y169" s="102">
        <v>2.57</v>
      </c>
      <c r="Z169" s="102">
        <v>1</v>
      </c>
      <c r="AA169" s="102">
        <v>1</v>
      </c>
      <c r="AB169" s="102">
        <v>1</v>
      </c>
      <c r="AC169" s="102">
        <v>9859</v>
      </c>
      <c r="AD169" s="190">
        <v>0.13422818791946309</v>
      </c>
      <c r="AE169" s="102">
        <v>4</v>
      </c>
      <c r="AF169" s="190">
        <v>0</v>
      </c>
      <c r="AG169" s="190">
        <v>2.9411764705882351</v>
      </c>
    </row>
    <row r="170" spans="1:33" x14ac:dyDescent="0.25">
      <c r="A170" s="102" t="s">
        <v>467</v>
      </c>
      <c r="B170" s="102" t="s">
        <v>647</v>
      </c>
      <c r="C170" s="102">
        <v>4238</v>
      </c>
      <c r="D170" s="102" t="s">
        <v>680</v>
      </c>
      <c r="E170" s="102" t="s">
        <v>668</v>
      </c>
      <c r="F170" s="102">
        <f t="shared" si="2"/>
        <v>0</v>
      </c>
      <c r="G170" s="191" t="s">
        <v>711</v>
      </c>
      <c r="H170" s="102" t="s">
        <v>672</v>
      </c>
      <c r="I170" s="102">
        <v>1</v>
      </c>
      <c r="J170" s="102">
        <v>0</v>
      </c>
      <c r="K170" s="102">
        <v>1</v>
      </c>
      <c r="L170" s="102">
        <v>1</v>
      </c>
      <c r="M170" s="102">
        <v>1</v>
      </c>
      <c r="N170" s="102">
        <v>0</v>
      </c>
      <c r="O170" s="102">
        <v>1</v>
      </c>
      <c r="P170" s="102">
        <v>0</v>
      </c>
      <c r="Q170" s="190">
        <v>4.3328409650418536</v>
      </c>
      <c r="R170" s="102" t="s">
        <v>705</v>
      </c>
      <c r="S170" s="102">
        <v>0</v>
      </c>
      <c r="T170" s="102">
        <v>0</v>
      </c>
      <c r="U170" s="102">
        <v>0.73</v>
      </c>
      <c r="V170" s="102">
        <v>0</v>
      </c>
      <c r="W170" s="102">
        <v>1</v>
      </c>
      <c r="X170" s="102">
        <v>330</v>
      </c>
      <c r="Y170" s="102">
        <v>0.01</v>
      </c>
      <c r="Z170" s="102">
        <v>0</v>
      </c>
      <c r="AA170" s="102">
        <v>1</v>
      </c>
      <c r="AB170" s="102">
        <v>0</v>
      </c>
      <c r="AC170" s="102">
        <v>21136</v>
      </c>
      <c r="AD170" s="190">
        <v>0.6256517205422315</v>
      </c>
      <c r="AE170" s="102">
        <v>3</v>
      </c>
      <c r="AF170" s="190">
        <v>7.8836074253733013E-2</v>
      </c>
      <c r="AG170" s="190">
        <v>4.545454545454545</v>
      </c>
    </row>
    <row r="171" spans="1:33" ht="30" x14ac:dyDescent="0.25">
      <c r="A171" s="102" t="s">
        <v>468</v>
      </c>
      <c r="B171" s="102" t="s">
        <v>648</v>
      </c>
      <c r="C171" s="102">
        <v>2615</v>
      </c>
      <c r="D171" s="102" t="s">
        <v>678</v>
      </c>
      <c r="E171" s="102" t="s">
        <v>664</v>
      </c>
      <c r="F171" s="102">
        <f t="shared" si="2"/>
        <v>0</v>
      </c>
      <c r="G171" s="191" t="s">
        <v>710</v>
      </c>
      <c r="H171" s="102" t="s">
        <v>674</v>
      </c>
      <c r="I171" s="102">
        <v>0</v>
      </c>
      <c r="J171" s="102">
        <v>0</v>
      </c>
      <c r="K171" s="102">
        <v>0</v>
      </c>
      <c r="L171" s="102">
        <v>1</v>
      </c>
      <c r="M171" s="102">
        <v>1</v>
      </c>
      <c r="N171" s="102">
        <v>0</v>
      </c>
      <c r="O171" s="102">
        <v>0</v>
      </c>
      <c r="P171" s="102">
        <v>11509</v>
      </c>
      <c r="Q171" s="190">
        <v>12.039417309340195</v>
      </c>
      <c r="R171" s="102" t="s">
        <v>705</v>
      </c>
      <c r="S171" s="102">
        <v>0</v>
      </c>
      <c r="T171" s="102">
        <v>0</v>
      </c>
      <c r="U171" s="102">
        <v>0.81</v>
      </c>
      <c r="V171" s="102">
        <v>0</v>
      </c>
      <c r="W171" s="102">
        <v>0</v>
      </c>
      <c r="X171" s="102">
        <v>209</v>
      </c>
      <c r="Y171" s="102">
        <v>-0.05</v>
      </c>
      <c r="Z171" s="102">
        <v>0</v>
      </c>
      <c r="AA171" s="102">
        <v>0</v>
      </c>
      <c r="AB171" s="102">
        <v>0</v>
      </c>
      <c r="AC171" s="102">
        <v>35444</v>
      </c>
      <c r="AD171" s="190">
        <v>0.35087719298245612</v>
      </c>
      <c r="AE171" s="102">
        <v>3</v>
      </c>
      <c r="AF171" s="190">
        <v>0.32825585719186079</v>
      </c>
      <c r="AG171" s="190">
        <v>2.6785714285714284</v>
      </c>
    </row>
    <row r="172" spans="1:33" x14ac:dyDescent="0.25">
      <c r="A172" s="102" t="s">
        <v>469</v>
      </c>
      <c r="B172" s="102" t="s">
        <v>649</v>
      </c>
      <c r="C172" s="102">
        <v>1023</v>
      </c>
      <c r="D172" s="102" t="s">
        <v>678</v>
      </c>
      <c r="E172" s="102" t="s">
        <v>666</v>
      </c>
      <c r="F172" s="102">
        <f t="shared" si="2"/>
        <v>0</v>
      </c>
      <c r="G172" s="191" t="s">
        <v>709</v>
      </c>
      <c r="H172" s="102" t="s">
        <v>673</v>
      </c>
      <c r="I172" s="102">
        <v>0</v>
      </c>
      <c r="J172" s="102">
        <v>0</v>
      </c>
      <c r="K172" s="102">
        <v>0</v>
      </c>
      <c r="L172" s="102">
        <v>0</v>
      </c>
      <c r="M172" s="102">
        <v>0</v>
      </c>
      <c r="N172" s="102">
        <v>0</v>
      </c>
      <c r="O172" s="102">
        <v>1</v>
      </c>
      <c r="P172" s="102">
        <v>0</v>
      </c>
      <c r="Q172" s="190">
        <v>4.3877551020408134</v>
      </c>
      <c r="R172" s="102" t="s">
        <v>705</v>
      </c>
      <c r="S172" s="102">
        <v>1</v>
      </c>
      <c r="T172" s="102">
        <v>0</v>
      </c>
      <c r="U172" s="102">
        <v>0.62</v>
      </c>
      <c r="V172" s="102">
        <v>1</v>
      </c>
      <c r="W172" s="102">
        <v>0</v>
      </c>
      <c r="X172" s="102">
        <v>54</v>
      </c>
      <c r="Y172" s="102">
        <v>0.37</v>
      </c>
      <c r="Z172" s="102">
        <v>0</v>
      </c>
      <c r="AA172" s="102">
        <v>1</v>
      </c>
      <c r="AB172" s="102">
        <v>0</v>
      </c>
      <c r="AC172" s="102">
        <v>9364</v>
      </c>
      <c r="AD172" s="190">
        <v>1.1520737327188941</v>
      </c>
      <c r="AE172" s="102">
        <v>5</v>
      </c>
      <c r="AF172" s="190">
        <v>0.12795325903245694</v>
      </c>
      <c r="AG172" s="190">
        <v>41.666666666666671</v>
      </c>
    </row>
    <row r="173" spans="1:33" ht="30" x14ac:dyDescent="0.25">
      <c r="A173" s="102" t="s">
        <v>470</v>
      </c>
      <c r="B173" s="102" t="s">
        <v>650</v>
      </c>
      <c r="C173" s="102">
        <v>863</v>
      </c>
      <c r="D173" s="102" t="s">
        <v>678</v>
      </c>
      <c r="E173" s="102" t="s">
        <v>669</v>
      </c>
      <c r="F173" s="102">
        <f t="shared" si="2"/>
        <v>0</v>
      </c>
      <c r="G173" s="191" t="s">
        <v>708</v>
      </c>
      <c r="H173" s="102" t="s">
        <v>671</v>
      </c>
      <c r="I173" s="102">
        <v>0</v>
      </c>
      <c r="J173" s="102">
        <v>0</v>
      </c>
      <c r="K173" s="102">
        <v>0</v>
      </c>
      <c r="L173" s="102">
        <v>0</v>
      </c>
      <c r="M173" s="102">
        <v>1</v>
      </c>
      <c r="N173" s="102">
        <v>0</v>
      </c>
      <c r="O173" s="102">
        <v>0</v>
      </c>
      <c r="P173" s="102">
        <v>0</v>
      </c>
      <c r="Q173" s="190">
        <v>3.9759036144578204</v>
      </c>
      <c r="R173" s="102" t="s">
        <v>705</v>
      </c>
      <c r="S173" s="102">
        <v>0</v>
      </c>
      <c r="T173" s="102">
        <v>0</v>
      </c>
      <c r="U173" s="102">
        <v>0.69</v>
      </c>
      <c r="V173" s="102">
        <v>0</v>
      </c>
      <c r="W173" s="102">
        <v>0</v>
      </c>
      <c r="X173" s="102">
        <v>60</v>
      </c>
      <c r="Y173" s="102">
        <v>-0.03</v>
      </c>
      <c r="Z173" s="102">
        <v>0</v>
      </c>
      <c r="AA173" s="102">
        <v>1</v>
      </c>
      <c r="AB173" s="102">
        <v>0</v>
      </c>
      <c r="AC173" s="102">
        <v>22807</v>
      </c>
      <c r="AD173" s="190">
        <v>0</v>
      </c>
      <c r="AE173" s="102">
        <v>1</v>
      </c>
      <c r="AF173" s="190">
        <v>0</v>
      </c>
      <c r="AG173" s="190">
        <v>6.25</v>
      </c>
    </row>
    <row r="174" spans="1:33" x14ac:dyDescent="0.25">
      <c r="A174" s="102" t="s">
        <v>471</v>
      </c>
      <c r="B174" s="102" t="s">
        <v>651</v>
      </c>
      <c r="C174" s="102">
        <v>345</v>
      </c>
      <c r="D174" s="102" t="s">
        <v>678</v>
      </c>
      <c r="E174" s="102" t="s">
        <v>666</v>
      </c>
      <c r="F174" s="102">
        <f t="shared" si="2"/>
        <v>0</v>
      </c>
      <c r="G174" s="191" t="s">
        <v>709</v>
      </c>
      <c r="H174" s="102" t="s">
        <v>673</v>
      </c>
      <c r="I174" s="102">
        <v>0</v>
      </c>
      <c r="J174" s="102">
        <v>0</v>
      </c>
      <c r="K174" s="102">
        <v>0</v>
      </c>
      <c r="L174" s="102">
        <v>0</v>
      </c>
      <c r="M174" s="102">
        <v>0</v>
      </c>
      <c r="N174" s="102">
        <v>0</v>
      </c>
      <c r="O174" s="102">
        <v>0</v>
      </c>
      <c r="P174" s="102">
        <v>0</v>
      </c>
      <c r="Q174" s="190">
        <v>7.1428571428571388</v>
      </c>
      <c r="R174" s="102" t="s">
        <v>705</v>
      </c>
      <c r="S174" s="102">
        <v>0</v>
      </c>
      <c r="T174" s="102">
        <v>1</v>
      </c>
      <c r="U174" s="102">
        <v>0.66</v>
      </c>
      <c r="V174" s="102">
        <v>0</v>
      </c>
      <c r="W174" s="102">
        <v>0</v>
      </c>
      <c r="X174" s="102">
        <v>21</v>
      </c>
      <c r="Y174" s="102">
        <v>1.98</v>
      </c>
      <c r="Z174" s="102">
        <v>0</v>
      </c>
      <c r="AA174" s="102">
        <v>1</v>
      </c>
      <c r="AB174" s="102">
        <v>0</v>
      </c>
      <c r="AC174" s="102">
        <v>9859</v>
      </c>
      <c r="AD174" s="190">
        <v>1.7094017094017095</v>
      </c>
      <c r="AE174" s="102">
        <v>2</v>
      </c>
      <c r="AF174" s="190">
        <v>0</v>
      </c>
      <c r="AG174" s="190">
        <v>11.76470588235294</v>
      </c>
    </row>
    <row r="175" spans="1:33" x14ac:dyDescent="0.25">
      <c r="A175" s="102" t="s">
        <v>472</v>
      </c>
      <c r="B175" s="102" t="s">
        <v>652</v>
      </c>
      <c r="C175" s="102">
        <v>111</v>
      </c>
      <c r="D175" s="102" t="s">
        <v>678</v>
      </c>
      <c r="E175" s="102" t="s">
        <v>667</v>
      </c>
      <c r="F175" s="102">
        <f t="shared" si="2"/>
        <v>0</v>
      </c>
      <c r="G175" s="191" t="s">
        <v>711</v>
      </c>
      <c r="H175" s="102" t="s">
        <v>672</v>
      </c>
      <c r="I175" s="102">
        <v>0</v>
      </c>
      <c r="J175" s="102">
        <v>0</v>
      </c>
      <c r="K175" s="102">
        <v>1</v>
      </c>
      <c r="L175" s="102">
        <v>0</v>
      </c>
      <c r="M175" s="102">
        <v>0</v>
      </c>
      <c r="N175" s="102">
        <v>0</v>
      </c>
      <c r="O175" s="102">
        <v>0</v>
      </c>
      <c r="P175" s="102">
        <v>0</v>
      </c>
      <c r="Q175" s="190">
        <v>33.734939759036138</v>
      </c>
      <c r="R175" s="102" t="s">
        <v>705</v>
      </c>
      <c r="S175" s="102">
        <v>0</v>
      </c>
      <c r="T175" s="102">
        <v>0</v>
      </c>
      <c r="U175" s="102">
        <v>0.54</v>
      </c>
      <c r="V175" s="102">
        <v>1</v>
      </c>
      <c r="W175" s="102">
        <v>0</v>
      </c>
      <c r="X175" s="102">
        <v>9</v>
      </c>
      <c r="Y175" s="102">
        <v>0</v>
      </c>
      <c r="Z175" s="102">
        <v>0</v>
      </c>
      <c r="AA175" s="102">
        <v>0</v>
      </c>
      <c r="AB175" s="102">
        <v>0</v>
      </c>
      <c r="AC175" s="102">
        <v>5366</v>
      </c>
      <c r="AD175" s="190">
        <v>12</v>
      </c>
      <c r="AE175" s="102">
        <v>0</v>
      </c>
      <c r="AF175" s="190">
        <v>0</v>
      </c>
      <c r="AG175" s="190">
        <v>0</v>
      </c>
    </row>
    <row r="176" spans="1:33" x14ac:dyDescent="0.25">
      <c r="A176" s="102" t="s">
        <v>473</v>
      </c>
      <c r="B176" s="102" t="s">
        <v>653</v>
      </c>
      <c r="C176" s="102">
        <v>437</v>
      </c>
      <c r="D176" s="102" t="s">
        <v>678</v>
      </c>
      <c r="E176" s="102" t="s">
        <v>665</v>
      </c>
      <c r="F176" s="102">
        <f t="shared" si="2"/>
        <v>0</v>
      </c>
      <c r="G176" s="191" t="s">
        <v>711</v>
      </c>
      <c r="H176" s="102" t="s">
        <v>672</v>
      </c>
      <c r="I176" s="102">
        <v>0</v>
      </c>
      <c r="J176" s="102">
        <v>0</v>
      </c>
      <c r="K176" s="102">
        <v>1</v>
      </c>
      <c r="L176" s="102">
        <v>0</v>
      </c>
      <c r="M176" s="102">
        <v>0</v>
      </c>
      <c r="N176" s="102">
        <v>0</v>
      </c>
      <c r="O176" s="102">
        <v>1</v>
      </c>
      <c r="P176" s="102">
        <v>0</v>
      </c>
      <c r="Q176" s="190">
        <v>-4.9999999999999858</v>
      </c>
      <c r="R176" s="102" t="s">
        <v>706</v>
      </c>
      <c r="S176" s="102">
        <v>1</v>
      </c>
      <c r="T176" s="102">
        <v>0</v>
      </c>
      <c r="U176" s="102">
        <v>0.67</v>
      </c>
      <c r="V176" s="102">
        <v>0</v>
      </c>
      <c r="W176" s="102">
        <v>0</v>
      </c>
      <c r="X176" s="102">
        <v>27</v>
      </c>
      <c r="Y176" s="102">
        <v>-0.35</v>
      </c>
      <c r="Z176" s="102">
        <v>0</v>
      </c>
      <c r="AA176" s="102">
        <v>1</v>
      </c>
      <c r="AB176" s="102">
        <v>0</v>
      </c>
      <c r="AC176" s="102">
        <v>5629</v>
      </c>
      <c r="AD176" s="190">
        <v>0.45248868778280543</v>
      </c>
      <c r="AE176" s="102">
        <v>0</v>
      </c>
      <c r="AF176" s="190">
        <v>2.2318699219054255E-2</v>
      </c>
      <c r="AG176" s="190">
        <v>0</v>
      </c>
    </row>
    <row r="177" spans="1:33" ht="30" x14ac:dyDescent="0.25">
      <c r="A177" s="102" t="s">
        <v>474</v>
      </c>
      <c r="B177" s="102" t="s">
        <v>654</v>
      </c>
      <c r="C177" s="102">
        <v>3545</v>
      </c>
      <c r="D177" s="102" t="s">
        <v>678</v>
      </c>
      <c r="E177" s="102" t="s">
        <v>664</v>
      </c>
      <c r="F177" s="102">
        <f t="shared" si="2"/>
        <v>0</v>
      </c>
      <c r="G177" s="191" t="s">
        <v>708</v>
      </c>
      <c r="H177" s="102" t="s">
        <v>671</v>
      </c>
      <c r="I177" s="102">
        <v>0</v>
      </c>
      <c r="J177" s="102">
        <v>0</v>
      </c>
      <c r="K177" s="102">
        <v>0</v>
      </c>
      <c r="L177" s="102">
        <v>1</v>
      </c>
      <c r="M177" s="102">
        <v>1</v>
      </c>
      <c r="N177" s="102">
        <v>0</v>
      </c>
      <c r="O177" s="102">
        <v>1</v>
      </c>
      <c r="P177" s="102">
        <v>0</v>
      </c>
      <c r="Q177" s="190">
        <v>103.03550973654066</v>
      </c>
      <c r="R177" s="102" t="s">
        <v>705</v>
      </c>
      <c r="S177" s="102">
        <v>0</v>
      </c>
      <c r="T177" s="102">
        <v>0</v>
      </c>
      <c r="U177" s="102">
        <v>0.91</v>
      </c>
      <c r="V177" s="102">
        <v>0</v>
      </c>
      <c r="W177" s="102">
        <v>0</v>
      </c>
      <c r="X177" s="102">
        <v>389</v>
      </c>
      <c r="Y177" s="102">
        <v>25.82</v>
      </c>
      <c r="Z177" s="102">
        <v>1</v>
      </c>
      <c r="AA177" s="102">
        <v>1</v>
      </c>
      <c r="AB177" s="102">
        <v>0</v>
      </c>
      <c r="AC177" s="102">
        <v>17206</v>
      </c>
      <c r="AD177" s="190">
        <v>0.25295109612141653</v>
      </c>
      <c r="AE177" s="102">
        <v>3</v>
      </c>
      <c r="AF177" s="190">
        <v>8.0305912686812527E-3</v>
      </c>
      <c r="AG177" s="190">
        <v>2.9411764705882351</v>
      </c>
    </row>
    <row r="178" spans="1:33" ht="30" x14ac:dyDescent="0.25">
      <c r="A178" s="102" t="s">
        <v>475</v>
      </c>
      <c r="B178" s="102" t="s">
        <v>655</v>
      </c>
      <c r="C178" s="102">
        <v>340</v>
      </c>
      <c r="D178" s="102" t="s">
        <v>678</v>
      </c>
      <c r="E178" s="102" t="s">
        <v>669</v>
      </c>
      <c r="F178" s="102">
        <f t="shared" si="2"/>
        <v>0</v>
      </c>
      <c r="G178" s="191" t="s">
        <v>708</v>
      </c>
      <c r="H178" s="102" t="s">
        <v>671</v>
      </c>
      <c r="I178" s="102">
        <v>0</v>
      </c>
      <c r="J178" s="102">
        <v>0</v>
      </c>
      <c r="K178" s="102">
        <v>0</v>
      </c>
      <c r="L178" s="102">
        <v>0</v>
      </c>
      <c r="M178" s="102">
        <v>0</v>
      </c>
      <c r="N178" s="102">
        <v>0</v>
      </c>
      <c r="O178" s="102">
        <v>0</v>
      </c>
      <c r="P178" s="102">
        <v>0</v>
      </c>
      <c r="Q178" s="190">
        <v>-6.336088154269973</v>
      </c>
      <c r="R178" s="102" t="s">
        <v>706</v>
      </c>
      <c r="S178" s="102">
        <v>0</v>
      </c>
      <c r="T178" s="102">
        <v>1</v>
      </c>
      <c r="U178" s="102">
        <v>0.64</v>
      </c>
      <c r="V178" s="102">
        <v>1</v>
      </c>
      <c r="W178" s="102">
        <v>0</v>
      </c>
      <c r="X178" s="102">
        <v>29</v>
      </c>
      <c r="Y178" s="102">
        <v>-0.01</v>
      </c>
      <c r="Z178" s="102">
        <v>0</v>
      </c>
      <c r="AA178" s="102">
        <v>0</v>
      </c>
      <c r="AB178" s="102">
        <v>0</v>
      </c>
      <c r="AC178" s="102">
        <v>12766</v>
      </c>
      <c r="AD178" s="190">
        <v>0.70921985815602839</v>
      </c>
      <c r="AE178" s="102">
        <v>5</v>
      </c>
      <c r="AF178" s="190">
        <v>1.5087216152408029</v>
      </c>
      <c r="AG178" s="190">
        <v>45.454545454545453</v>
      </c>
    </row>
    <row r="179" spans="1:33" x14ac:dyDescent="0.25">
      <c r="A179" s="102" t="s">
        <v>476</v>
      </c>
      <c r="B179" s="102" t="s">
        <v>656</v>
      </c>
      <c r="C179" s="102">
        <v>160</v>
      </c>
      <c r="D179" s="102" t="s">
        <v>678</v>
      </c>
      <c r="E179" s="102" t="s">
        <v>667</v>
      </c>
      <c r="F179" s="102">
        <f t="shared" si="2"/>
        <v>0</v>
      </c>
      <c r="G179" s="191" t="s">
        <v>711</v>
      </c>
      <c r="H179" s="102" t="s">
        <v>672</v>
      </c>
      <c r="I179" s="102">
        <v>0</v>
      </c>
      <c r="J179" s="102">
        <v>0</v>
      </c>
      <c r="K179" s="102">
        <v>1</v>
      </c>
      <c r="L179" s="102">
        <v>0</v>
      </c>
      <c r="M179" s="102">
        <v>0</v>
      </c>
      <c r="N179" s="102">
        <v>0</v>
      </c>
      <c r="O179" s="102">
        <v>0</v>
      </c>
      <c r="P179" s="102">
        <v>0</v>
      </c>
      <c r="Q179" s="190">
        <v>8.1081081081081123</v>
      </c>
      <c r="R179" s="102" t="s">
        <v>705</v>
      </c>
      <c r="S179" s="102">
        <v>0</v>
      </c>
      <c r="T179" s="102">
        <v>0</v>
      </c>
      <c r="U179" s="102">
        <v>0.68</v>
      </c>
      <c r="V179" s="102">
        <v>0</v>
      </c>
      <c r="W179" s="102">
        <v>0</v>
      </c>
      <c r="X179" s="102">
        <v>9</v>
      </c>
      <c r="Y179" s="102">
        <v>0</v>
      </c>
      <c r="Z179" s="102">
        <v>0</v>
      </c>
      <c r="AA179" s="102">
        <v>0</v>
      </c>
      <c r="AB179" s="102">
        <v>0</v>
      </c>
      <c r="AC179" s="102">
        <v>9859</v>
      </c>
      <c r="AD179" s="190">
        <v>3.5714285714285716</v>
      </c>
      <c r="AE179" s="102">
        <v>0</v>
      </c>
      <c r="AF179" s="190">
        <v>0.20852304175245354</v>
      </c>
      <c r="AG179" s="190">
        <v>0</v>
      </c>
    </row>
    <row r="180" spans="1:33" ht="30" x14ac:dyDescent="0.25">
      <c r="A180" s="102" t="s">
        <v>477</v>
      </c>
      <c r="B180" s="102" t="s">
        <v>657</v>
      </c>
      <c r="C180" s="102">
        <v>163</v>
      </c>
      <c r="D180" s="102" t="s">
        <v>678</v>
      </c>
      <c r="E180" s="102" t="s">
        <v>664</v>
      </c>
      <c r="F180" s="102">
        <f t="shared" si="2"/>
        <v>0</v>
      </c>
      <c r="G180" s="191" t="s">
        <v>708</v>
      </c>
      <c r="H180" s="102" t="s">
        <v>671</v>
      </c>
      <c r="I180" s="102">
        <v>0</v>
      </c>
      <c r="J180" s="102">
        <v>0</v>
      </c>
      <c r="K180" s="102">
        <v>0</v>
      </c>
      <c r="L180" s="102">
        <v>1</v>
      </c>
      <c r="M180" s="102">
        <v>1</v>
      </c>
      <c r="N180" s="102">
        <v>0</v>
      </c>
      <c r="O180" s="102">
        <v>1</v>
      </c>
      <c r="P180" s="102">
        <v>755</v>
      </c>
      <c r="Q180" s="190">
        <v>-2.9761904761904674</v>
      </c>
      <c r="R180" s="102" t="s">
        <v>706</v>
      </c>
      <c r="S180" s="102">
        <v>0</v>
      </c>
      <c r="T180" s="102">
        <v>1</v>
      </c>
      <c r="U180" s="102">
        <v>0.73</v>
      </c>
      <c r="V180" s="102">
        <v>0</v>
      </c>
      <c r="W180" s="102">
        <v>0</v>
      </c>
      <c r="X180" s="102">
        <v>10</v>
      </c>
      <c r="Y180" s="102">
        <v>0.76</v>
      </c>
      <c r="Z180" s="102">
        <v>0</v>
      </c>
      <c r="AA180" s="102">
        <v>1</v>
      </c>
      <c r="AB180" s="102">
        <v>0</v>
      </c>
      <c r="AC180" s="102">
        <v>4357</v>
      </c>
      <c r="AD180" s="190">
        <v>1.1235955056179776</v>
      </c>
      <c r="AE180" s="102">
        <v>0</v>
      </c>
      <c r="AF180" s="190">
        <v>0</v>
      </c>
      <c r="AG180" s="190">
        <v>0</v>
      </c>
    </row>
    <row r="181" spans="1:33" x14ac:dyDescent="0.25">
      <c r="A181" s="102" t="s">
        <v>478</v>
      </c>
      <c r="B181" s="102" t="s">
        <v>658</v>
      </c>
      <c r="C181" s="102">
        <v>983</v>
      </c>
      <c r="D181" s="102" t="s">
        <v>678</v>
      </c>
      <c r="E181" s="102" t="s">
        <v>667</v>
      </c>
      <c r="F181" s="102">
        <f t="shared" si="2"/>
        <v>0</v>
      </c>
      <c r="G181" s="191" t="s">
        <v>711</v>
      </c>
      <c r="H181" s="102" t="s">
        <v>672</v>
      </c>
      <c r="I181" s="102">
        <v>0</v>
      </c>
      <c r="J181" s="102">
        <v>0</v>
      </c>
      <c r="K181" s="102">
        <v>1</v>
      </c>
      <c r="L181" s="102">
        <v>0</v>
      </c>
      <c r="M181" s="102">
        <v>0</v>
      </c>
      <c r="N181" s="102">
        <v>0</v>
      </c>
      <c r="O181" s="102">
        <v>1</v>
      </c>
      <c r="P181" s="102">
        <v>0</v>
      </c>
      <c r="Q181" s="190">
        <v>4.4633368756641829</v>
      </c>
      <c r="R181" s="102" t="s">
        <v>705</v>
      </c>
      <c r="S181" s="102">
        <v>0</v>
      </c>
      <c r="T181" s="102">
        <v>0</v>
      </c>
      <c r="U181" s="102">
        <v>0.72</v>
      </c>
      <c r="V181" s="102">
        <v>0</v>
      </c>
      <c r="W181" s="102">
        <v>0</v>
      </c>
      <c r="X181" s="102">
        <v>52</v>
      </c>
      <c r="Y181" s="102">
        <v>3.31</v>
      </c>
      <c r="Z181" s="102">
        <v>1</v>
      </c>
      <c r="AA181" s="102">
        <v>0</v>
      </c>
      <c r="AB181" s="102">
        <v>0</v>
      </c>
      <c r="AC181" s="102">
        <v>73867</v>
      </c>
      <c r="AD181" s="190">
        <v>0.54794520547945202</v>
      </c>
      <c r="AE181" s="102">
        <v>1</v>
      </c>
      <c r="AF181" s="190">
        <v>1.4163709300688774</v>
      </c>
      <c r="AG181" s="190">
        <v>5</v>
      </c>
    </row>
    <row r="182" spans="1:33" ht="30" x14ac:dyDescent="0.25">
      <c r="A182" s="102" t="s">
        <v>479</v>
      </c>
      <c r="B182" s="102" t="s">
        <v>659</v>
      </c>
      <c r="C182" s="102">
        <v>1049</v>
      </c>
      <c r="D182" s="102" t="s">
        <v>678</v>
      </c>
      <c r="E182" s="102" t="s">
        <v>670</v>
      </c>
      <c r="F182" s="102">
        <f t="shared" si="2"/>
        <v>0</v>
      </c>
      <c r="G182" s="191" t="s">
        <v>710</v>
      </c>
      <c r="H182" s="102" t="s">
        <v>674</v>
      </c>
      <c r="I182" s="102">
        <v>0</v>
      </c>
      <c r="J182" s="102">
        <v>0</v>
      </c>
      <c r="K182" s="102">
        <v>1</v>
      </c>
      <c r="L182" s="102">
        <v>1</v>
      </c>
      <c r="M182" s="102">
        <v>1</v>
      </c>
      <c r="N182" s="102">
        <v>0</v>
      </c>
      <c r="O182" s="102">
        <v>0</v>
      </c>
      <c r="P182" s="102">
        <v>0</v>
      </c>
      <c r="Q182" s="190">
        <v>-1.2241054613935916</v>
      </c>
      <c r="R182" s="102" t="s">
        <v>707</v>
      </c>
      <c r="S182" s="102">
        <v>1</v>
      </c>
      <c r="T182" s="102">
        <v>0</v>
      </c>
      <c r="U182" s="102">
        <v>0.68</v>
      </c>
      <c r="V182" s="102">
        <v>0</v>
      </c>
      <c r="W182" s="102">
        <v>0</v>
      </c>
      <c r="X182" s="102">
        <v>77</v>
      </c>
      <c r="Y182" s="102">
        <v>0.13</v>
      </c>
      <c r="Z182" s="102">
        <v>0</v>
      </c>
      <c r="AA182" s="102">
        <v>1</v>
      </c>
      <c r="AB182" s="102">
        <v>0</v>
      </c>
      <c r="AC182" s="102">
        <v>17471</v>
      </c>
      <c r="AD182" s="190">
        <v>0.62630480167014613</v>
      </c>
      <c r="AE182" s="102">
        <v>7</v>
      </c>
      <c r="AF182" s="190">
        <v>1.3408699495206546</v>
      </c>
      <c r="AG182" s="190">
        <v>21.875</v>
      </c>
    </row>
    <row r="183" spans="1:33" x14ac:dyDescent="0.25">
      <c r="A183" s="102" t="s">
        <v>480</v>
      </c>
      <c r="B183" s="102" t="s">
        <v>660</v>
      </c>
      <c r="C183" s="102">
        <v>1469</v>
      </c>
      <c r="D183" s="102" t="s">
        <v>678</v>
      </c>
      <c r="E183" s="102" t="s">
        <v>667</v>
      </c>
      <c r="F183" s="102">
        <f t="shared" si="2"/>
        <v>0</v>
      </c>
      <c r="G183" s="191" t="s">
        <v>711</v>
      </c>
      <c r="H183" s="102" t="s">
        <v>672</v>
      </c>
      <c r="I183" s="102">
        <v>0</v>
      </c>
      <c r="J183" s="102">
        <v>0</v>
      </c>
      <c r="K183" s="102">
        <v>1</v>
      </c>
      <c r="L183" s="102">
        <v>0</v>
      </c>
      <c r="M183" s="102">
        <v>0</v>
      </c>
      <c r="N183" s="102">
        <v>0</v>
      </c>
      <c r="O183" s="102">
        <v>0</v>
      </c>
      <c r="P183" s="102">
        <v>334</v>
      </c>
      <c r="Q183" s="190">
        <v>11.966463414634148</v>
      </c>
      <c r="R183" s="102" t="s">
        <v>705</v>
      </c>
      <c r="S183" s="102">
        <v>0</v>
      </c>
      <c r="T183" s="102">
        <v>0</v>
      </c>
      <c r="U183" s="102">
        <v>0.71</v>
      </c>
      <c r="V183" s="102">
        <v>0</v>
      </c>
      <c r="W183" s="102">
        <v>1</v>
      </c>
      <c r="X183" s="102">
        <v>94</v>
      </c>
      <c r="Y183" s="102">
        <v>3.04</v>
      </c>
      <c r="Z183" s="102">
        <v>1</v>
      </c>
      <c r="AA183" s="102">
        <v>1</v>
      </c>
      <c r="AB183" s="102">
        <v>0</v>
      </c>
      <c r="AC183" s="102">
        <v>10579</v>
      </c>
      <c r="AD183" s="190">
        <v>0.4854368932038835</v>
      </c>
      <c r="AE183" s="102">
        <v>1</v>
      </c>
      <c r="AF183" s="190">
        <v>0</v>
      </c>
      <c r="AG183" s="190">
        <v>1.7857142857142856</v>
      </c>
    </row>
    <row r="184" spans="1:33" x14ac:dyDescent="0.25">
      <c r="A184" s="102" t="s">
        <v>481</v>
      </c>
      <c r="B184" s="102" t="s">
        <v>661</v>
      </c>
      <c r="C184" s="102">
        <v>391</v>
      </c>
      <c r="D184" s="102" t="s">
        <v>678</v>
      </c>
      <c r="E184" s="102" t="s">
        <v>666</v>
      </c>
      <c r="F184" s="102">
        <f t="shared" si="2"/>
        <v>0</v>
      </c>
      <c r="G184" s="191" t="s">
        <v>709</v>
      </c>
      <c r="H184" s="102" t="s">
        <v>673</v>
      </c>
      <c r="I184" s="102">
        <v>0</v>
      </c>
      <c r="J184" s="102">
        <v>0</v>
      </c>
      <c r="K184" s="102">
        <v>0</v>
      </c>
      <c r="L184" s="102">
        <v>0</v>
      </c>
      <c r="M184" s="102">
        <v>0</v>
      </c>
      <c r="N184" s="102">
        <v>0</v>
      </c>
      <c r="O184" s="102">
        <v>0</v>
      </c>
      <c r="P184" s="102">
        <v>0</v>
      </c>
      <c r="Q184" s="190">
        <v>-1.0126582278481067</v>
      </c>
      <c r="R184" s="102" t="s">
        <v>707</v>
      </c>
      <c r="S184" s="102">
        <v>0</v>
      </c>
      <c r="T184" s="102">
        <v>0</v>
      </c>
      <c r="U184" s="102">
        <v>0.64</v>
      </c>
      <c r="V184" s="102">
        <v>1</v>
      </c>
      <c r="W184" s="102">
        <v>0</v>
      </c>
      <c r="X184" s="102">
        <v>32</v>
      </c>
      <c r="Y184" s="102">
        <v>0.1</v>
      </c>
      <c r="Z184" s="102">
        <v>0</v>
      </c>
      <c r="AA184" s="102">
        <v>1</v>
      </c>
      <c r="AB184" s="102">
        <v>0</v>
      </c>
      <c r="AC184" s="102">
        <v>4070</v>
      </c>
      <c r="AD184" s="190">
        <v>0.65359477124183007</v>
      </c>
      <c r="AE184" s="102">
        <v>1</v>
      </c>
      <c r="AF184" s="190">
        <v>1.3706459130467596</v>
      </c>
      <c r="AG184" s="190">
        <v>12.5</v>
      </c>
    </row>
    <row r="185" spans="1:33" x14ac:dyDescent="0.25">
      <c r="A185" s="102" t="s">
        <v>482</v>
      </c>
      <c r="B185" s="102" t="s">
        <v>662</v>
      </c>
      <c r="C185" s="102">
        <v>150</v>
      </c>
      <c r="D185" s="102" t="s">
        <v>678</v>
      </c>
      <c r="E185" s="102" t="s">
        <v>665</v>
      </c>
      <c r="F185" s="102">
        <f t="shared" si="2"/>
        <v>0</v>
      </c>
      <c r="G185" s="191" t="s">
        <v>711</v>
      </c>
      <c r="H185" s="102" t="s">
        <v>672</v>
      </c>
      <c r="I185" s="102">
        <v>0</v>
      </c>
      <c r="J185" s="102">
        <v>0</v>
      </c>
      <c r="K185" s="102">
        <v>1</v>
      </c>
      <c r="L185" s="102">
        <v>0</v>
      </c>
      <c r="M185" s="102">
        <v>0</v>
      </c>
      <c r="N185" s="102">
        <v>0</v>
      </c>
      <c r="O185" s="102">
        <v>0</v>
      </c>
      <c r="P185" s="102">
        <v>0</v>
      </c>
      <c r="Q185" s="190">
        <v>6.3829787234042641</v>
      </c>
      <c r="R185" s="102" t="s">
        <v>705</v>
      </c>
      <c r="S185" s="102">
        <v>0</v>
      </c>
      <c r="T185" s="102">
        <v>0</v>
      </c>
      <c r="U185" s="102">
        <v>0.64</v>
      </c>
      <c r="V185" s="102">
        <v>1</v>
      </c>
      <c r="W185" s="102">
        <v>0</v>
      </c>
      <c r="X185" s="102">
        <v>10</v>
      </c>
      <c r="Y185" s="102">
        <v>1.08</v>
      </c>
      <c r="Z185" s="102">
        <v>0</v>
      </c>
      <c r="AA185" s="102">
        <v>0</v>
      </c>
      <c r="AB185" s="102">
        <v>0</v>
      </c>
      <c r="AC185" s="102">
        <v>34727</v>
      </c>
      <c r="AD185" s="190">
        <v>7.8125</v>
      </c>
      <c r="AE185" s="102">
        <v>0</v>
      </c>
      <c r="AF185" s="190">
        <v>0</v>
      </c>
      <c r="AG185" s="190">
        <v>0</v>
      </c>
    </row>
    <row r="186" spans="1:33" x14ac:dyDescent="0.25">
      <c r="A186" s="102" t="s">
        <v>483</v>
      </c>
      <c r="B186" s="102" t="s">
        <v>663</v>
      </c>
      <c r="C186" s="102">
        <v>853</v>
      </c>
      <c r="D186" s="102" t="s">
        <v>678</v>
      </c>
      <c r="E186" s="102" t="s">
        <v>666</v>
      </c>
      <c r="F186" s="102">
        <f t="shared" si="2"/>
        <v>0</v>
      </c>
      <c r="G186" s="191" t="s">
        <v>709</v>
      </c>
      <c r="H186" s="102" t="s">
        <v>673</v>
      </c>
      <c r="I186" s="102">
        <v>0</v>
      </c>
      <c r="J186" s="102">
        <v>0</v>
      </c>
      <c r="K186" s="102">
        <v>0</v>
      </c>
      <c r="L186" s="102">
        <v>0</v>
      </c>
      <c r="M186" s="102">
        <v>0</v>
      </c>
      <c r="N186" s="102">
        <v>1</v>
      </c>
      <c r="O186" s="102">
        <v>0</v>
      </c>
      <c r="P186" s="102">
        <v>0</v>
      </c>
      <c r="Q186" s="190">
        <v>1.0663507109004797</v>
      </c>
      <c r="R186" s="102" t="s">
        <v>707</v>
      </c>
      <c r="S186" s="102">
        <v>0</v>
      </c>
      <c r="T186" s="102">
        <v>1</v>
      </c>
      <c r="U186" s="102">
        <v>0.68</v>
      </c>
      <c r="V186" s="102">
        <v>0</v>
      </c>
      <c r="W186" s="102">
        <v>0</v>
      </c>
      <c r="X186" s="102">
        <v>54</v>
      </c>
      <c r="Y186" s="102">
        <v>16.59</v>
      </c>
      <c r="Z186" s="102">
        <v>1</v>
      </c>
      <c r="AA186" s="102">
        <v>1</v>
      </c>
      <c r="AB186" s="102">
        <v>0</v>
      </c>
      <c r="AC186" s="102">
        <v>30149</v>
      </c>
      <c r="AD186" s="190">
        <v>0.68965517241379315</v>
      </c>
      <c r="AE186" s="102">
        <v>5</v>
      </c>
      <c r="AF186" s="190">
        <v>0.92559285227335975</v>
      </c>
      <c r="AG186" s="190">
        <v>20.833333333333336</v>
      </c>
    </row>
    <row r="187" spans="1:33" x14ac:dyDescent="0.25">
      <c r="A187" s="104"/>
    </row>
    <row r="189" spans="1:33" x14ac:dyDescent="0.25">
      <c r="A189" s="106"/>
      <c r="B189" t="s">
        <v>264</v>
      </c>
    </row>
  </sheetData>
  <autoFilter ref="A2:AG186" xr:uid="{00000000-0001-0000-0400-000000000000}"/>
  <mergeCells count="33">
    <mergeCell ref="AE2:AE3"/>
    <mergeCell ref="AF2:AF3"/>
    <mergeCell ref="Z2:Z3"/>
    <mergeCell ref="AA2:AA3"/>
    <mergeCell ref="AB2:AB3"/>
    <mergeCell ref="AC2:AC3"/>
    <mergeCell ref="AD2:AD3"/>
    <mergeCell ref="T2:T3"/>
    <mergeCell ref="U2:U3"/>
    <mergeCell ref="V2:V3"/>
    <mergeCell ref="W2:W3"/>
    <mergeCell ref="Y2:Y3"/>
    <mergeCell ref="N2:N3"/>
    <mergeCell ref="O2:O3"/>
    <mergeCell ref="P2:P3"/>
    <mergeCell ref="Q2:Q3"/>
    <mergeCell ref="S2:S3"/>
    <mergeCell ref="A1:AG1"/>
    <mergeCell ref="A2:A3"/>
    <mergeCell ref="B2:B3"/>
    <mergeCell ref="C2:C3"/>
    <mergeCell ref="D2:D3"/>
    <mergeCell ref="E2:E3"/>
    <mergeCell ref="F2:F3"/>
    <mergeCell ref="G2:G3"/>
    <mergeCell ref="H2:H3"/>
    <mergeCell ref="J2:J3"/>
    <mergeCell ref="K2:K3"/>
    <mergeCell ref="AG2:AG3"/>
    <mergeCell ref="L2:L3"/>
    <mergeCell ref="M2:M3"/>
    <mergeCell ref="R2:R3"/>
    <mergeCell ref="X2:X3"/>
  </mergeCells>
  <phoneticPr fontId="27" type="noConversion"/>
  <pageMargins left="0.70866141732283472" right="0.70866141732283472" top="0.74803149606299213" bottom="0.74803149606299213" header="0.31496062992125984" footer="0.31496062992125984"/>
  <pageSetup paperSize="8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  <pageSetUpPr fitToPage="1"/>
  </sheetPr>
  <dimension ref="A1:K77"/>
  <sheetViews>
    <sheetView topLeftCell="A46" zoomScaleNormal="100" workbookViewId="0">
      <selection activeCell="K52" sqref="J3:K52"/>
    </sheetView>
  </sheetViews>
  <sheetFormatPr defaultColWidth="0" defaultRowHeight="15" zeroHeight="1" x14ac:dyDescent="0.25"/>
  <cols>
    <col min="1" max="1" width="16.42578125" bestFit="1" customWidth="1"/>
    <col min="2" max="2" width="9.85546875" bestFit="1" customWidth="1"/>
    <col min="3" max="3" width="9.140625" hidden="1" customWidth="1"/>
    <col min="4" max="4" width="58" customWidth="1"/>
    <col min="5" max="5" width="13.85546875" customWidth="1"/>
    <col min="6" max="6" width="15" style="181" hidden="1" customWidth="1"/>
    <col min="7" max="8" width="15" hidden="1" customWidth="1"/>
    <col min="9" max="9" width="13.140625" style="181" hidden="1" customWidth="1"/>
    <col min="10" max="10" width="17.42578125" customWidth="1"/>
    <col min="11" max="11" width="19.28515625" customWidth="1"/>
    <col min="12" max="16384" width="9.140625" hidden="1"/>
  </cols>
  <sheetData>
    <row r="1" spans="1:11" ht="27" customHeight="1" x14ac:dyDescent="0.25">
      <c r="A1" s="253" t="s">
        <v>104</v>
      </c>
      <c r="B1" s="93" t="s">
        <v>105</v>
      </c>
      <c r="D1" s="93"/>
      <c r="E1" s="254" t="s">
        <v>106</v>
      </c>
      <c r="F1" s="255" t="s">
        <v>107</v>
      </c>
      <c r="G1" s="256" t="s">
        <v>108</v>
      </c>
      <c r="H1" s="256" t="s">
        <v>109</v>
      </c>
      <c r="I1" s="255" t="s">
        <v>110</v>
      </c>
      <c r="J1" s="250" t="s">
        <v>111</v>
      </c>
      <c r="K1" s="252" t="s">
        <v>112</v>
      </c>
    </row>
    <row r="2" spans="1:11" ht="30.75" customHeight="1" x14ac:dyDescent="0.25">
      <c r="A2" s="253"/>
      <c r="B2" s="93" t="s">
        <v>113</v>
      </c>
      <c r="D2" s="93" t="s">
        <v>114</v>
      </c>
      <c r="E2" s="254"/>
      <c r="F2" s="255"/>
      <c r="G2" s="251"/>
      <c r="H2" s="251"/>
      <c r="I2" s="255"/>
      <c r="J2" s="251"/>
      <c r="K2" s="252"/>
    </row>
    <row r="3" spans="1:11" ht="30" customHeight="1" x14ac:dyDescent="0.25">
      <c r="A3" s="94" t="s">
        <v>115</v>
      </c>
      <c r="B3" s="160" t="s">
        <v>116</v>
      </c>
      <c r="D3" s="95" t="s">
        <v>117</v>
      </c>
      <c r="E3" s="94" t="s">
        <v>118</v>
      </c>
      <c r="F3" s="161">
        <v>7.14</v>
      </c>
      <c r="G3" s="162">
        <f>H3*[2]forrástábla!E4</f>
        <v>0</v>
      </c>
      <c r="H3" s="163">
        <v>0</v>
      </c>
      <c r="I3" s="161">
        <v>72.22</v>
      </c>
      <c r="J3" s="263">
        <v>0</v>
      </c>
      <c r="K3" s="264">
        <v>0</v>
      </c>
    </row>
    <row r="4" spans="1:11" ht="51.6" customHeight="1" x14ac:dyDescent="0.25">
      <c r="A4" s="94" t="s">
        <v>115</v>
      </c>
      <c r="B4" s="160" t="s">
        <v>119</v>
      </c>
      <c r="D4" s="95" t="s">
        <v>120</v>
      </c>
      <c r="E4" s="94" t="s">
        <v>121</v>
      </c>
      <c r="F4" s="164">
        <v>0</v>
      </c>
      <c r="G4" s="165">
        <v>0</v>
      </c>
      <c r="H4" s="96">
        <v>0</v>
      </c>
      <c r="I4" s="166">
        <v>152735</v>
      </c>
      <c r="J4" s="265">
        <v>7694</v>
      </c>
      <c r="K4" s="264">
        <v>7694</v>
      </c>
    </row>
    <row r="5" spans="1:11" ht="109.5" customHeight="1" x14ac:dyDescent="0.25">
      <c r="A5" s="94" t="s">
        <v>115</v>
      </c>
      <c r="B5" s="160" t="s">
        <v>122</v>
      </c>
      <c r="D5" s="95" t="s">
        <v>123</v>
      </c>
      <c r="E5" s="94" t="s">
        <v>124</v>
      </c>
      <c r="F5" s="161">
        <v>21.75</v>
      </c>
      <c r="G5" s="162">
        <f>H5*[2]forrástábla!E4</f>
        <v>1.0753531589715437</v>
      </c>
      <c r="H5" s="163">
        <v>1.04</v>
      </c>
      <c r="I5" s="161">
        <v>435.13</v>
      </c>
      <c r="J5" s="263">
        <v>20.23</v>
      </c>
      <c r="K5" s="175">
        <v>20.23</v>
      </c>
    </row>
    <row r="6" spans="1:11" ht="78" customHeight="1" x14ac:dyDescent="0.25">
      <c r="A6" s="94" t="s">
        <v>115</v>
      </c>
      <c r="B6" s="160" t="s">
        <v>125</v>
      </c>
      <c r="D6" s="95" t="s">
        <v>126</v>
      </c>
      <c r="E6" s="94" t="s">
        <v>127</v>
      </c>
      <c r="F6" s="164">
        <v>0</v>
      </c>
      <c r="G6" s="165">
        <v>0</v>
      </c>
      <c r="H6" s="96">
        <v>0</v>
      </c>
      <c r="I6" s="161">
        <v>1926590</v>
      </c>
      <c r="J6" s="265">
        <v>89555</v>
      </c>
      <c r="K6" s="264">
        <v>89555</v>
      </c>
    </row>
    <row r="7" spans="1:11" ht="40.5" customHeight="1" x14ac:dyDescent="0.25">
      <c r="A7" s="94" t="s">
        <v>115</v>
      </c>
      <c r="B7" s="160" t="s">
        <v>128</v>
      </c>
      <c r="D7" s="95" t="s">
        <v>129</v>
      </c>
      <c r="E7" s="94" t="s">
        <v>118</v>
      </c>
      <c r="F7" s="164">
        <v>0</v>
      </c>
      <c r="G7" s="165">
        <v>0</v>
      </c>
      <c r="H7" s="96">
        <v>0</v>
      </c>
      <c r="I7" s="161">
        <v>7.03</v>
      </c>
      <c r="J7" s="265" t="s">
        <v>327</v>
      </c>
      <c r="K7" s="266" t="s">
        <v>327</v>
      </c>
    </row>
    <row r="8" spans="1:11" ht="61.5" customHeight="1" x14ac:dyDescent="0.25">
      <c r="A8" s="94" t="s">
        <v>115</v>
      </c>
      <c r="B8" s="160" t="s">
        <v>130</v>
      </c>
      <c r="D8" s="95" t="s">
        <v>131</v>
      </c>
      <c r="E8" s="94" t="s">
        <v>132</v>
      </c>
      <c r="F8" s="164">
        <v>7</v>
      </c>
      <c r="G8" s="165">
        <v>0</v>
      </c>
      <c r="H8" s="96">
        <v>0</v>
      </c>
      <c r="I8" s="166">
        <v>69</v>
      </c>
      <c r="J8" s="265">
        <v>3</v>
      </c>
      <c r="K8" s="264">
        <v>3</v>
      </c>
    </row>
    <row r="9" spans="1:11" ht="17.25" x14ac:dyDescent="0.25">
      <c r="A9" s="94" t="s">
        <v>115</v>
      </c>
      <c r="B9" s="160" t="s">
        <v>133</v>
      </c>
      <c r="D9" s="95" t="s">
        <v>134</v>
      </c>
      <c r="E9" s="94" t="s">
        <v>135</v>
      </c>
      <c r="F9" s="164">
        <v>0</v>
      </c>
      <c r="G9" s="165">
        <v>0</v>
      </c>
      <c r="H9" s="96">
        <v>0</v>
      </c>
      <c r="I9" s="166">
        <v>80870</v>
      </c>
      <c r="J9" s="265">
        <v>3036</v>
      </c>
      <c r="K9" s="264">
        <v>3036</v>
      </c>
    </row>
    <row r="10" spans="1:11" ht="30" x14ac:dyDescent="0.25">
      <c r="A10" s="94" t="s">
        <v>115</v>
      </c>
      <c r="B10" s="160" t="s">
        <v>136</v>
      </c>
      <c r="D10" s="95" t="s">
        <v>137</v>
      </c>
      <c r="E10" s="94" t="s">
        <v>132</v>
      </c>
      <c r="F10" s="164">
        <v>0</v>
      </c>
      <c r="G10" s="168">
        <v>0</v>
      </c>
      <c r="H10" s="169">
        <v>0</v>
      </c>
      <c r="I10" s="166">
        <v>19.37</v>
      </c>
      <c r="J10" s="267">
        <v>1</v>
      </c>
      <c r="K10" s="264">
        <v>1</v>
      </c>
    </row>
    <row r="11" spans="1:11" ht="65.45" customHeight="1" x14ac:dyDescent="0.25">
      <c r="A11" s="94" t="s">
        <v>115</v>
      </c>
      <c r="B11" s="160" t="s">
        <v>138</v>
      </c>
      <c r="D11" s="95" t="s">
        <v>139</v>
      </c>
      <c r="E11" s="94" t="s">
        <v>140</v>
      </c>
      <c r="F11" s="166">
        <v>119961</v>
      </c>
      <c r="G11" s="167">
        <f>H11*[2]forrástábla!E4</f>
        <v>6259.796177320889</v>
      </c>
      <c r="H11" s="96">
        <v>6054</v>
      </c>
      <c r="I11" s="166">
        <v>1199619</v>
      </c>
      <c r="J11" s="265" t="s">
        <v>327</v>
      </c>
      <c r="K11" s="266" t="s">
        <v>327</v>
      </c>
    </row>
    <row r="12" spans="1:11" ht="65.45" customHeight="1" x14ac:dyDescent="0.25">
      <c r="A12" s="94" t="s">
        <v>115</v>
      </c>
      <c r="B12" s="69" t="s">
        <v>141</v>
      </c>
      <c r="D12" s="95" t="s">
        <v>142</v>
      </c>
      <c r="E12" s="94" t="s">
        <v>121</v>
      </c>
      <c r="F12" s="164">
        <v>0</v>
      </c>
      <c r="G12" s="168">
        <v>0</v>
      </c>
      <c r="H12" s="169">
        <v>0</v>
      </c>
      <c r="I12" s="166">
        <v>815</v>
      </c>
      <c r="J12" s="268">
        <v>0</v>
      </c>
      <c r="K12" s="178">
        <v>0</v>
      </c>
    </row>
    <row r="13" spans="1:11" ht="30" customHeight="1" x14ac:dyDescent="0.25">
      <c r="A13" s="94" t="s">
        <v>115</v>
      </c>
      <c r="B13" s="69" t="s">
        <v>143</v>
      </c>
      <c r="D13" s="95" t="s">
        <v>144</v>
      </c>
      <c r="E13" s="94" t="s">
        <v>121</v>
      </c>
      <c r="F13" s="164">
        <v>0</v>
      </c>
      <c r="G13" s="168">
        <v>0</v>
      </c>
      <c r="H13" s="169">
        <v>0</v>
      </c>
      <c r="I13" s="166">
        <v>123</v>
      </c>
      <c r="J13" s="268">
        <v>0</v>
      </c>
      <c r="K13" s="178">
        <v>0</v>
      </c>
    </row>
    <row r="14" spans="1:11" ht="30" customHeight="1" x14ac:dyDescent="0.25">
      <c r="A14" s="94" t="s">
        <v>115</v>
      </c>
      <c r="B14" s="69" t="s">
        <v>145</v>
      </c>
      <c r="D14" s="95" t="s">
        <v>146</v>
      </c>
      <c r="E14" s="97" t="s">
        <v>124</v>
      </c>
      <c r="F14" s="161">
        <v>13.35</v>
      </c>
      <c r="G14" s="171">
        <f>H14</f>
        <v>0.55000000000000004</v>
      </c>
      <c r="H14" s="172">
        <v>0.55000000000000004</v>
      </c>
      <c r="I14" s="161">
        <v>133.5</v>
      </c>
      <c r="J14" s="269">
        <v>5.69</v>
      </c>
      <c r="K14" s="266">
        <v>5.69</v>
      </c>
    </row>
    <row r="15" spans="1:11" ht="30" customHeight="1" x14ac:dyDescent="0.25">
      <c r="A15" s="94" t="s">
        <v>147</v>
      </c>
      <c r="B15" s="69" t="s">
        <v>148</v>
      </c>
      <c r="D15" s="95" t="s">
        <v>149</v>
      </c>
      <c r="E15" s="94" t="s">
        <v>135</v>
      </c>
      <c r="F15" s="161">
        <v>40554.093740905191</v>
      </c>
      <c r="G15" s="162">
        <f>H15*[2]forrástábla!E10</f>
        <v>1430.7840001339557</v>
      </c>
      <c r="H15" s="163">
        <v>1555.2</v>
      </c>
      <c r="I15" s="161">
        <v>404769.29667176737</v>
      </c>
      <c r="J15" s="263">
        <v>10478.18</v>
      </c>
      <c r="K15" s="175">
        <v>10478.18</v>
      </c>
    </row>
    <row r="16" spans="1:11" ht="30" customHeight="1" x14ac:dyDescent="0.25">
      <c r="A16" s="94" t="s">
        <v>147</v>
      </c>
      <c r="B16" s="69" t="s">
        <v>150</v>
      </c>
      <c r="D16" s="95" t="s">
        <v>151</v>
      </c>
      <c r="E16" s="94" t="s">
        <v>152</v>
      </c>
      <c r="F16" s="164">
        <v>0</v>
      </c>
      <c r="G16" s="173">
        <v>0</v>
      </c>
      <c r="H16" s="163">
        <v>0</v>
      </c>
      <c r="I16" s="161">
        <v>60715.319962726564</v>
      </c>
      <c r="J16" s="263">
        <v>1571.71</v>
      </c>
      <c r="K16" s="175">
        <v>1571.71</v>
      </c>
    </row>
    <row r="17" spans="1:11" ht="30" customHeight="1" x14ac:dyDescent="0.25">
      <c r="A17" s="94" t="s">
        <v>147</v>
      </c>
      <c r="B17" s="69" t="s">
        <v>153</v>
      </c>
      <c r="D17" s="95" t="s">
        <v>154</v>
      </c>
      <c r="E17" s="94" t="s">
        <v>155</v>
      </c>
      <c r="F17" s="164">
        <v>0</v>
      </c>
      <c r="G17" s="173">
        <v>0</v>
      </c>
      <c r="H17" s="163">
        <v>0</v>
      </c>
      <c r="I17" s="161">
        <v>35183.983550273399</v>
      </c>
      <c r="J17" s="263">
        <v>917.38</v>
      </c>
      <c r="K17" s="175">
        <v>917.38</v>
      </c>
    </row>
    <row r="18" spans="1:11" ht="60.6" customHeight="1" x14ac:dyDescent="0.25">
      <c r="A18" s="94" t="s">
        <v>147</v>
      </c>
      <c r="B18" s="69" t="s">
        <v>156</v>
      </c>
      <c r="D18" s="95" t="s">
        <v>157</v>
      </c>
      <c r="E18" s="94" t="s">
        <v>158</v>
      </c>
      <c r="F18" s="161">
        <v>1.87</v>
      </c>
      <c r="G18" s="162">
        <f>H18*[2]forrástábla!E10</f>
        <v>7.3600000006890723E-2</v>
      </c>
      <c r="H18" s="174">
        <v>0.08</v>
      </c>
      <c r="I18" s="161">
        <v>18.658554164188558</v>
      </c>
      <c r="J18" s="263">
        <v>0.49</v>
      </c>
      <c r="K18" s="175">
        <v>0.49</v>
      </c>
    </row>
    <row r="19" spans="1:11" ht="43.5" customHeight="1" x14ac:dyDescent="0.25">
      <c r="A19" s="94" t="s">
        <v>147</v>
      </c>
      <c r="B19" s="69" t="s">
        <v>159</v>
      </c>
      <c r="D19" s="95" t="s">
        <v>160</v>
      </c>
      <c r="E19" s="94" t="s">
        <v>152</v>
      </c>
      <c r="F19" s="164">
        <v>0</v>
      </c>
      <c r="G19" s="173">
        <v>0</v>
      </c>
      <c r="H19" s="163">
        <v>0</v>
      </c>
      <c r="I19" s="161">
        <v>20524.409580607415</v>
      </c>
      <c r="J19" s="263">
        <v>531.34</v>
      </c>
      <c r="K19" s="175">
        <v>531.34</v>
      </c>
    </row>
    <row r="20" spans="1:11" ht="59.1" customHeight="1" x14ac:dyDescent="0.25">
      <c r="A20" s="94" t="s">
        <v>147</v>
      </c>
      <c r="B20" s="69" t="s">
        <v>161</v>
      </c>
      <c r="D20" s="95" t="s">
        <v>162</v>
      </c>
      <c r="E20" s="94" t="s">
        <v>132</v>
      </c>
      <c r="F20" s="164">
        <v>1</v>
      </c>
      <c r="G20" s="173">
        <v>0</v>
      </c>
      <c r="H20" s="163">
        <v>1</v>
      </c>
      <c r="I20" s="161">
        <v>10.579592567323409</v>
      </c>
      <c r="J20" s="263">
        <v>1</v>
      </c>
      <c r="K20" s="264">
        <v>1</v>
      </c>
    </row>
    <row r="21" spans="1:11" ht="30" customHeight="1" x14ac:dyDescent="0.25">
      <c r="A21" s="94" t="s">
        <v>163</v>
      </c>
      <c r="B21" s="69" t="s">
        <v>164</v>
      </c>
      <c r="D21" s="95" t="s">
        <v>165</v>
      </c>
      <c r="E21" s="94" t="s">
        <v>121</v>
      </c>
      <c r="F21" s="164">
        <v>1766</v>
      </c>
      <c r="G21" s="168">
        <v>0</v>
      </c>
      <c r="H21" s="176">
        <v>80</v>
      </c>
      <c r="I21" s="164">
        <v>35320</v>
      </c>
      <c r="J21" s="265">
        <v>1409</v>
      </c>
      <c r="K21" s="264">
        <v>1409</v>
      </c>
    </row>
    <row r="22" spans="1:11" ht="30" customHeight="1" x14ac:dyDescent="0.25">
      <c r="A22" s="94" t="s">
        <v>163</v>
      </c>
      <c r="B22" s="69" t="s">
        <v>166</v>
      </c>
      <c r="D22" s="95" t="s">
        <v>167</v>
      </c>
      <c r="E22" s="94" t="s">
        <v>121</v>
      </c>
      <c r="F22" s="164">
        <v>207</v>
      </c>
      <c r="G22" s="168">
        <v>0</v>
      </c>
      <c r="H22" s="176">
        <v>10</v>
      </c>
      <c r="I22" s="164">
        <v>4144</v>
      </c>
      <c r="J22" s="268">
        <v>166</v>
      </c>
      <c r="K22" s="178">
        <v>166</v>
      </c>
    </row>
    <row r="23" spans="1:11" ht="30" customHeight="1" x14ac:dyDescent="0.25">
      <c r="A23" s="94" t="s">
        <v>163</v>
      </c>
      <c r="B23" s="69" t="s">
        <v>168</v>
      </c>
      <c r="D23" s="95" t="s">
        <v>169</v>
      </c>
      <c r="E23" s="94" t="s">
        <v>121</v>
      </c>
      <c r="F23" s="164">
        <v>128</v>
      </c>
      <c r="G23" s="168">
        <v>0</v>
      </c>
      <c r="H23" s="176">
        <v>6</v>
      </c>
      <c r="I23" s="164">
        <v>2567</v>
      </c>
      <c r="J23" s="268">
        <v>103</v>
      </c>
      <c r="K23" s="178">
        <v>103</v>
      </c>
    </row>
    <row r="24" spans="1:11" ht="30" customHeight="1" x14ac:dyDescent="0.25">
      <c r="A24" s="94" t="s">
        <v>163</v>
      </c>
      <c r="B24" s="69" t="s">
        <v>170</v>
      </c>
      <c r="D24" s="95" t="s">
        <v>171</v>
      </c>
      <c r="E24" s="94" t="s">
        <v>121</v>
      </c>
      <c r="F24" s="164">
        <v>2168</v>
      </c>
      <c r="G24" s="168">
        <v>0</v>
      </c>
      <c r="H24" s="176">
        <v>98</v>
      </c>
      <c r="I24" s="164">
        <v>43362</v>
      </c>
      <c r="J24" s="265">
        <v>1730</v>
      </c>
      <c r="K24" s="264">
        <v>1730</v>
      </c>
    </row>
    <row r="25" spans="1:11" ht="30" customHeight="1" x14ac:dyDescent="0.25">
      <c r="A25" s="94" t="s">
        <v>163</v>
      </c>
      <c r="B25" s="69" t="s">
        <v>172</v>
      </c>
      <c r="D25" s="95" t="s">
        <v>173</v>
      </c>
      <c r="E25" s="94" t="s">
        <v>121</v>
      </c>
      <c r="F25" s="177" t="s">
        <v>174</v>
      </c>
      <c r="G25" s="168">
        <v>0</v>
      </c>
      <c r="H25" s="169" t="s">
        <v>174</v>
      </c>
      <c r="I25" s="164">
        <v>22258</v>
      </c>
      <c r="J25" s="268">
        <v>888</v>
      </c>
      <c r="K25" s="178">
        <v>888</v>
      </c>
    </row>
    <row r="26" spans="1:11" ht="62.1" customHeight="1" x14ac:dyDescent="0.25">
      <c r="A26" s="94" t="s">
        <v>163</v>
      </c>
      <c r="B26" s="69" t="s">
        <v>175</v>
      </c>
      <c r="D26" s="95" t="s">
        <v>176</v>
      </c>
      <c r="E26" s="94" t="s">
        <v>132</v>
      </c>
      <c r="F26" s="164">
        <v>0</v>
      </c>
      <c r="G26" s="168">
        <v>0</v>
      </c>
      <c r="H26" s="169">
        <v>0</v>
      </c>
      <c r="I26" s="164">
        <v>255</v>
      </c>
      <c r="J26" s="268">
        <v>1</v>
      </c>
      <c r="K26" s="178">
        <v>1</v>
      </c>
    </row>
    <row r="27" spans="1:11" ht="69.599999999999994" customHeight="1" x14ac:dyDescent="0.25">
      <c r="A27" s="94" t="s">
        <v>163</v>
      </c>
      <c r="B27" s="69" t="s">
        <v>177</v>
      </c>
      <c r="D27" s="95" t="s">
        <v>178</v>
      </c>
      <c r="E27" s="94" t="s">
        <v>132</v>
      </c>
      <c r="F27" s="164">
        <v>0</v>
      </c>
      <c r="G27" s="168">
        <v>0</v>
      </c>
      <c r="H27" s="169">
        <v>0</v>
      </c>
      <c r="I27" s="164">
        <v>127</v>
      </c>
      <c r="J27" s="268">
        <v>1</v>
      </c>
      <c r="K27" s="178">
        <v>1</v>
      </c>
    </row>
    <row r="28" spans="1:11" ht="58.5" customHeight="1" x14ac:dyDescent="0.25">
      <c r="A28" s="94" t="s">
        <v>163</v>
      </c>
      <c r="B28" s="69" t="s">
        <v>179</v>
      </c>
      <c r="D28" s="95" t="s">
        <v>180</v>
      </c>
      <c r="E28" s="94" t="s">
        <v>121</v>
      </c>
      <c r="F28" s="177" t="s">
        <v>174</v>
      </c>
      <c r="G28" s="168">
        <v>0</v>
      </c>
      <c r="H28" s="169" t="s">
        <v>174</v>
      </c>
      <c r="I28" s="164">
        <v>13716</v>
      </c>
      <c r="J28" s="268">
        <v>41</v>
      </c>
      <c r="K28" s="178">
        <v>41</v>
      </c>
    </row>
    <row r="29" spans="1:11" ht="30" customHeight="1" x14ac:dyDescent="0.25">
      <c r="A29" s="94" t="s">
        <v>163</v>
      </c>
      <c r="B29" s="69" t="s">
        <v>181</v>
      </c>
      <c r="D29" s="95" t="s">
        <v>182</v>
      </c>
      <c r="E29" s="94" t="s">
        <v>121</v>
      </c>
      <c r="F29" s="164">
        <v>0</v>
      </c>
      <c r="G29" s="168">
        <v>0</v>
      </c>
      <c r="H29" s="169">
        <v>0</v>
      </c>
      <c r="I29" s="164">
        <v>188</v>
      </c>
      <c r="J29" s="268">
        <v>1</v>
      </c>
      <c r="K29" s="178">
        <v>1</v>
      </c>
    </row>
    <row r="30" spans="1:11" ht="63.6" customHeight="1" x14ac:dyDescent="0.25">
      <c r="A30" s="94" t="s">
        <v>163</v>
      </c>
      <c r="B30" s="69" t="s">
        <v>175</v>
      </c>
      <c r="D30" s="95" t="s">
        <v>176</v>
      </c>
      <c r="E30" s="94" t="s">
        <v>132</v>
      </c>
      <c r="F30" s="164">
        <v>9</v>
      </c>
      <c r="G30" s="168">
        <v>1</v>
      </c>
      <c r="H30" s="169">
        <v>1</v>
      </c>
      <c r="I30" s="164">
        <v>901</v>
      </c>
      <c r="J30" s="268">
        <v>41</v>
      </c>
      <c r="K30" s="178">
        <v>41</v>
      </c>
    </row>
    <row r="31" spans="1:11" ht="63.95" customHeight="1" x14ac:dyDescent="0.25">
      <c r="A31" s="94" t="s">
        <v>163</v>
      </c>
      <c r="B31" s="69" t="s">
        <v>183</v>
      </c>
      <c r="D31" s="95" t="s">
        <v>184</v>
      </c>
      <c r="E31" s="94" t="s">
        <v>132</v>
      </c>
      <c r="F31" s="164">
        <v>3</v>
      </c>
      <c r="G31" s="168">
        <v>1</v>
      </c>
      <c r="H31" s="169">
        <v>1</v>
      </c>
      <c r="I31" s="164">
        <v>338</v>
      </c>
      <c r="J31" s="268">
        <v>16</v>
      </c>
      <c r="K31" s="178">
        <v>16</v>
      </c>
    </row>
    <row r="32" spans="1:11" ht="56.45" customHeight="1" x14ac:dyDescent="0.25">
      <c r="A32" s="94" t="s">
        <v>163</v>
      </c>
      <c r="B32" s="69" t="s">
        <v>179</v>
      </c>
      <c r="D32" s="95" t="s">
        <v>180</v>
      </c>
      <c r="E32" s="94" t="s">
        <v>121</v>
      </c>
      <c r="F32" s="164">
        <v>0</v>
      </c>
      <c r="G32" s="168">
        <v>0</v>
      </c>
      <c r="H32" s="169">
        <v>0</v>
      </c>
      <c r="I32" s="164">
        <v>1540056</v>
      </c>
      <c r="J32" s="270">
        <v>69441</v>
      </c>
      <c r="K32" s="178">
        <v>69441</v>
      </c>
    </row>
    <row r="33" spans="1:11" ht="51.75" customHeight="1" x14ac:dyDescent="0.25">
      <c r="A33" s="94" t="s">
        <v>163</v>
      </c>
      <c r="B33" s="69" t="s">
        <v>185</v>
      </c>
      <c r="D33" s="95" t="s">
        <v>186</v>
      </c>
      <c r="E33" s="94" t="s">
        <v>132</v>
      </c>
      <c r="F33" s="164">
        <v>0</v>
      </c>
      <c r="G33" s="168">
        <v>0</v>
      </c>
      <c r="H33" s="169">
        <v>0</v>
      </c>
      <c r="I33" s="164">
        <v>97</v>
      </c>
      <c r="J33" s="268">
        <v>5</v>
      </c>
      <c r="K33" s="178">
        <v>5</v>
      </c>
    </row>
    <row r="34" spans="1:11" ht="60" customHeight="1" x14ac:dyDescent="0.25">
      <c r="A34" s="94" t="s">
        <v>163</v>
      </c>
      <c r="B34" s="160" t="s">
        <v>187</v>
      </c>
      <c r="D34" s="95" t="s">
        <v>188</v>
      </c>
      <c r="E34" s="94" t="s">
        <v>132</v>
      </c>
      <c r="F34" s="166">
        <v>360</v>
      </c>
      <c r="G34" s="168">
        <v>17</v>
      </c>
      <c r="H34" s="169">
        <v>17</v>
      </c>
      <c r="I34" s="166">
        <v>3597</v>
      </c>
      <c r="J34" s="268">
        <v>151</v>
      </c>
      <c r="K34" s="178">
        <v>151</v>
      </c>
    </row>
    <row r="35" spans="1:11" ht="50.1" customHeight="1" x14ac:dyDescent="0.25">
      <c r="A35" s="94" t="s">
        <v>163</v>
      </c>
      <c r="B35" s="160" t="s">
        <v>189</v>
      </c>
      <c r="D35" s="95" t="s">
        <v>190</v>
      </c>
      <c r="E35" s="94" t="s">
        <v>132</v>
      </c>
      <c r="F35" s="164">
        <v>93</v>
      </c>
      <c r="G35" s="168">
        <v>5</v>
      </c>
      <c r="H35" s="169">
        <v>5</v>
      </c>
      <c r="I35" s="166">
        <v>933</v>
      </c>
      <c r="J35" s="268">
        <v>39</v>
      </c>
      <c r="K35" s="178">
        <v>39</v>
      </c>
    </row>
    <row r="36" spans="1:11" ht="45" customHeight="1" x14ac:dyDescent="0.25">
      <c r="A36" s="94" t="s">
        <v>163</v>
      </c>
      <c r="B36" s="160" t="s">
        <v>191</v>
      </c>
      <c r="D36" s="95" t="s">
        <v>192</v>
      </c>
      <c r="E36" s="94" t="s">
        <v>132</v>
      </c>
      <c r="F36" s="166">
        <v>2035</v>
      </c>
      <c r="G36" s="168">
        <v>121</v>
      </c>
      <c r="H36" s="169">
        <v>121</v>
      </c>
      <c r="I36" s="166">
        <v>20351.74184392059</v>
      </c>
      <c r="J36" s="265">
        <v>1053</v>
      </c>
      <c r="K36" s="264">
        <v>1053</v>
      </c>
    </row>
    <row r="37" spans="1:11" ht="53.45" customHeight="1" x14ac:dyDescent="0.25">
      <c r="A37" s="94" t="s">
        <v>163</v>
      </c>
      <c r="B37" s="160" t="s">
        <v>193</v>
      </c>
      <c r="D37" s="95" t="s">
        <v>194</v>
      </c>
      <c r="E37" s="94" t="s">
        <v>132</v>
      </c>
      <c r="F37" s="164">
        <v>75</v>
      </c>
      <c r="G37" s="168">
        <v>5</v>
      </c>
      <c r="H37" s="169">
        <v>5</v>
      </c>
      <c r="I37" s="166">
        <v>753.17469816084076</v>
      </c>
      <c r="J37" s="268">
        <v>42</v>
      </c>
      <c r="K37" s="178">
        <v>42</v>
      </c>
    </row>
    <row r="38" spans="1:11" ht="51.6" customHeight="1" x14ac:dyDescent="0.25">
      <c r="A38" s="94" t="s">
        <v>163</v>
      </c>
      <c r="B38" s="160" t="s">
        <v>195</v>
      </c>
      <c r="D38" s="95" t="s">
        <v>196</v>
      </c>
      <c r="E38" s="94" t="s">
        <v>121</v>
      </c>
      <c r="F38" s="164">
        <v>0</v>
      </c>
      <c r="G38" s="168">
        <v>0</v>
      </c>
      <c r="H38" s="169">
        <v>0</v>
      </c>
      <c r="I38" s="166">
        <v>4414.8857307087583</v>
      </c>
      <c r="J38" s="268">
        <v>229</v>
      </c>
      <c r="K38" s="178">
        <v>229</v>
      </c>
    </row>
    <row r="39" spans="1:11" ht="49.5" customHeight="1" x14ac:dyDescent="0.25">
      <c r="A39" s="94" t="s">
        <v>163</v>
      </c>
      <c r="B39" s="160" t="s">
        <v>197</v>
      </c>
      <c r="D39" s="95" t="s">
        <v>198</v>
      </c>
      <c r="E39" s="94" t="s">
        <v>132</v>
      </c>
      <c r="F39" s="164">
        <v>0</v>
      </c>
      <c r="G39" s="168">
        <v>0</v>
      </c>
      <c r="H39" s="169">
        <v>0</v>
      </c>
      <c r="I39" s="164">
        <v>42</v>
      </c>
      <c r="J39" s="268">
        <v>2</v>
      </c>
      <c r="K39" s="178">
        <v>2</v>
      </c>
    </row>
    <row r="40" spans="1:11" ht="48.6" customHeight="1" x14ac:dyDescent="0.25">
      <c r="A40" s="94" t="s">
        <v>163</v>
      </c>
      <c r="B40" s="160" t="s">
        <v>199</v>
      </c>
      <c r="D40" s="95" t="s">
        <v>200</v>
      </c>
      <c r="E40" s="94" t="s">
        <v>132</v>
      </c>
      <c r="F40" s="164">
        <v>0</v>
      </c>
      <c r="G40" s="168">
        <v>0</v>
      </c>
      <c r="H40" s="169">
        <v>0</v>
      </c>
      <c r="I40" s="164">
        <v>160</v>
      </c>
      <c r="J40" s="268">
        <v>9</v>
      </c>
      <c r="K40" s="178">
        <v>9</v>
      </c>
    </row>
    <row r="41" spans="1:11" ht="47.1" customHeight="1" x14ac:dyDescent="0.25">
      <c r="A41" s="94" t="s">
        <v>163</v>
      </c>
      <c r="B41" s="160" t="s">
        <v>201</v>
      </c>
      <c r="D41" s="95" t="s">
        <v>202</v>
      </c>
      <c r="E41" s="94" t="s">
        <v>132</v>
      </c>
      <c r="F41" s="164">
        <v>56</v>
      </c>
      <c r="G41" s="168">
        <v>4</v>
      </c>
      <c r="H41" s="176">
        <v>4</v>
      </c>
      <c r="I41" s="166">
        <v>559.69723225632549</v>
      </c>
      <c r="J41" s="268">
        <v>29</v>
      </c>
      <c r="K41" s="178">
        <v>29</v>
      </c>
    </row>
    <row r="42" spans="1:11" ht="47.1" customHeight="1" x14ac:dyDescent="0.25">
      <c r="A42" s="94" t="s">
        <v>163</v>
      </c>
      <c r="B42" s="160" t="s">
        <v>203</v>
      </c>
      <c r="D42" s="95" t="s">
        <v>204</v>
      </c>
      <c r="E42" s="94" t="s">
        <v>121</v>
      </c>
      <c r="F42" s="164">
        <v>0</v>
      </c>
      <c r="G42" s="168">
        <v>0</v>
      </c>
      <c r="H42" s="169">
        <v>0</v>
      </c>
      <c r="I42" s="166">
        <v>4023514.2168452744</v>
      </c>
      <c r="J42" s="270">
        <v>207210</v>
      </c>
      <c r="K42" s="178">
        <v>207210</v>
      </c>
    </row>
    <row r="43" spans="1:11" ht="47.1" customHeight="1" x14ac:dyDescent="0.25">
      <c r="A43" s="94" t="s">
        <v>163</v>
      </c>
      <c r="B43" s="160" t="s">
        <v>205</v>
      </c>
      <c r="D43" s="95" t="s">
        <v>206</v>
      </c>
      <c r="E43" s="94" t="s">
        <v>132</v>
      </c>
      <c r="F43" s="164">
        <v>26</v>
      </c>
      <c r="G43" s="168">
        <v>2</v>
      </c>
      <c r="H43" s="176">
        <v>2</v>
      </c>
      <c r="I43" s="164">
        <v>255</v>
      </c>
      <c r="J43" s="268">
        <v>15</v>
      </c>
      <c r="K43" s="178">
        <v>15</v>
      </c>
    </row>
    <row r="44" spans="1:11" ht="50.1" customHeight="1" x14ac:dyDescent="0.25">
      <c r="A44" s="94" t="s">
        <v>163</v>
      </c>
      <c r="B44" s="160" t="s">
        <v>207</v>
      </c>
      <c r="D44" s="95" t="s">
        <v>208</v>
      </c>
      <c r="E44" s="94" t="s">
        <v>132</v>
      </c>
      <c r="F44" s="164">
        <v>0</v>
      </c>
      <c r="G44" s="168">
        <v>0</v>
      </c>
      <c r="H44" s="169">
        <v>0</v>
      </c>
      <c r="I44" s="164">
        <v>185</v>
      </c>
      <c r="J44" s="268">
        <v>13</v>
      </c>
      <c r="K44" s="178">
        <v>13</v>
      </c>
    </row>
    <row r="45" spans="1:11" ht="45" customHeight="1" x14ac:dyDescent="0.25">
      <c r="A45" s="94" t="s">
        <v>163</v>
      </c>
      <c r="B45" s="160" t="s">
        <v>209</v>
      </c>
      <c r="D45" s="95" t="s">
        <v>210</v>
      </c>
      <c r="E45" s="94" t="s">
        <v>132</v>
      </c>
      <c r="F45" s="164">
        <v>0</v>
      </c>
      <c r="G45" s="168">
        <v>0</v>
      </c>
      <c r="H45" s="169">
        <v>0</v>
      </c>
      <c r="I45" s="164">
        <v>32</v>
      </c>
      <c r="J45" s="268">
        <v>2</v>
      </c>
      <c r="K45" s="178">
        <v>2</v>
      </c>
    </row>
    <row r="46" spans="1:11" ht="51.6" customHeight="1" x14ac:dyDescent="0.25">
      <c r="A46" s="94" t="s">
        <v>163</v>
      </c>
      <c r="B46" s="69" t="s">
        <v>211</v>
      </c>
      <c r="D46" s="95" t="s">
        <v>212</v>
      </c>
      <c r="E46" s="94" t="s">
        <v>132</v>
      </c>
      <c r="F46" s="164">
        <v>0</v>
      </c>
      <c r="G46" s="168">
        <v>0</v>
      </c>
      <c r="H46" s="169">
        <v>0</v>
      </c>
      <c r="I46" s="164">
        <v>26086</v>
      </c>
      <c r="J46" s="265">
        <v>1017</v>
      </c>
      <c r="K46" s="264">
        <v>1017</v>
      </c>
    </row>
    <row r="47" spans="1:11" ht="46.5" customHeight="1" x14ac:dyDescent="0.25">
      <c r="A47" s="94" t="s">
        <v>163</v>
      </c>
      <c r="B47" s="69" t="s">
        <v>213</v>
      </c>
      <c r="D47" s="95" t="s">
        <v>214</v>
      </c>
      <c r="E47" s="94" t="s">
        <v>132</v>
      </c>
      <c r="F47" s="164">
        <v>0</v>
      </c>
      <c r="G47" s="168">
        <v>0</v>
      </c>
      <c r="H47" s="169">
        <v>0</v>
      </c>
      <c r="I47" s="164">
        <v>248</v>
      </c>
      <c r="J47" s="268">
        <v>10</v>
      </c>
      <c r="K47" s="178">
        <v>10</v>
      </c>
    </row>
    <row r="48" spans="1:11" ht="30" customHeight="1" x14ac:dyDescent="0.25">
      <c r="A48" s="94" t="s">
        <v>163</v>
      </c>
      <c r="B48" s="69" t="s">
        <v>215</v>
      </c>
      <c r="D48" s="95" t="s">
        <v>216</v>
      </c>
      <c r="E48" s="94" t="s">
        <v>132</v>
      </c>
      <c r="F48" s="164">
        <v>0</v>
      </c>
      <c r="G48" s="168">
        <v>0</v>
      </c>
      <c r="H48" s="169">
        <v>0</v>
      </c>
      <c r="I48" s="164">
        <v>6</v>
      </c>
      <c r="J48" s="268">
        <v>1</v>
      </c>
      <c r="K48" s="178">
        <v>1</v>
      </c>
    </row>
    <row r="49" spans="1:11" ht="46.5" customHeight="1" x14ac:dyDescent="0.25">
      <c r="A49" s="94" t="s">
        <v>163</v>
      </c>
      <c r="B49" s="69" t="s">
        <v>217</v>
      </c>
      <c r="D49" s="95" t="s">
        <v>218</v>
      </c>
      <c r="E49" s="94" t="s">
        <v>132</v>
      </c>
      <c r="F49" s="164">
        <v>0</v>
      </c>
      <c r="G49" s="168">
        <v>0</v>
      </c>
      <c r="H49" s="169">
        <v>0</v>
      </c>
      <c r="I49" s="164">
        <v>18782</v>
      </c>
      <c r="J49" s="268">
        <v>733</v>
      </c>
      <c r="K49" s="178">
        <v>733</v>
      </c>
    </row>
    <row r="50" spans="1:11" ht="30" customHeight="1" x14ac:dyDescent="0.25">
      <c r="A50" s="94" t="s">
        <v>219</v>
      </c>
      <c r="B50" s="69" t="s">
        <v>220</v>
      </c>
      <c r="D50" s="95" t="s">
        <v>221</v>
      </c>
      <c r="E50" s="94" t="s">
        <v>132</v>
      </c>
      <c r="F50" s="166">
        <v>116</v>
      </c>
      <c r="G50" s="179">
        <f>H50*[2]forrástábla!E22</f>
        <v>6</v>
      </c>
      <c r="H50" s="169">
        <v>6</v>
      </c>
      <c r="I50" s="166">
        <v>1168</v>
      </c>
      <c r="J50" s="271">
        <v>24</v>
      </c>
      <c r="K50" s="178">
        <v>24</v>
      </c>
    </row>
    <row r="51" spans="1:11" ht="30" customHeight="1" x14ac:dyDescent="0.25">
      <c r="A51" s="94" t="s">
        <v>219</v>
      </c>
      <c r="B51" s="69" t="s">
        <v>222</v>
      </c>
      <c r="D51" s="95" t="s">
        <v>223</v>
      </c>
      <c r="E51" s="94" t="s">
        <v>132</v>
      </c>
      <c r="F51" s="164">
        <v>12</v>
      </c>
      <c r="G51" s="179">
        <v>1</v>
      </c>
      <c r="H51" s="169">
        <v>1</v>
      </c>
      <c r="I51" s="166">
        <v>119</v>
      </c>
      <c r="J51" s="271">
        <v>3</v>
      </c>
      <c r="K51" s="178">
        <v>3</v>
      </c>
    </row>
    <row r="52" spans="1:11" ht="30" customHeight="1" x14ac:dyDescent="0.25">
      <c r="A52" s="94" t="s">
        <v>219</v>
      </c>
      <c r="B52" s="69" t="s">
        <v>224</v>
      </c>
      <c r="D52" s="95" t="s">
        <v>225</v>
      </c>
      <c r="E52" s="94" t="s">
        <v>132</v>
      </c>
      <c r="F52" s="164">
        <v>0</v>
      </c>
      <c r="G52" s="179">
        <v>1</v>
      </c>
      <c r="H52" s="169">
        <v>0</v>
      </c>
      <c r="I52" s="166">
        <v>82</v>
      </c>
      <c r="J52" s="271">
        <v>2</v>
      </c>
      <c r="K52" s="178">
        <v>2</v>
      </c>
    </row>
    <row r="53" spans="1:11" ht="30" customHeight="1" x14ac:dyDescent="0.25">
      <c r="A53" s="94" t="s">
        <v>219</v>
      </c>
      <c r="B53" s="69" t="s">
        <v>145</v>
      </c>
      <c r="D53" s="95" t="s">
        <v>226</v>
      </c>
      <c r="E53" s="94" t="s">
        <v>124</v>
      </c>
      <c r="F53" s="177">
        <v>26.974</v>
      </c>
      <c r="G53" s="168">
        <v>1.29</v>
      </c>
      <c r="H53" s="169">
        <v>0.14000000000000001</v>
      </c>
      <c r="I53" s="177">
        <v>269.74599999999998</v>
      </c>
      <c r="J53" s="168">
        <v>1.27</v>
      </c>
      <c r="K53" s="170">
        <v>1.27</v>
      </c>
    </row>
    <row r="54" spans="1:11" ht="53.45" customHeight="1" x14ac:dyDescent="0.25">
      <c r="A54" s="94" t="s">
        <v>219</v>
      </c>
      <c r="B54" s="69" t="s">
        <v>227</v>
      </c>
      <c r="D54" s="95" t="s">
        <v>228</v>
      </c>
      <c r="E54" s="94" t="s">
        <v>132</v>
      </c>
      <c r="F54" s="164">
        <v>27</v>
      </c>
      <c r="G54" s="179">
        <v>4</v>
      </c>
      <c r="H54" s="169">
        <v>1</v>
      </c>
      <c r="I54" s="166">
        <v>215</v>
      </c>
      <c r="J54" s="179">
        <v>3</v>
      </c>
      <c r="K54" s="170">
        <v>3</v>
      </c>
    </row>
    <row r="55" spans="1:11" ht="30" customHeight="1" x14ac:dyDescent="0.25">
      <c r="A55" s="94" t="s">
        <v>219</v>
      </c>
      <c r="B55" s="69" t="s">
        <v>161</v>
      </c>
      <c r="D55" s="95" t="s">
        <v>162</v>
      </c>
      <c r="E55" s="94" t="s">
        <v>132</v>
      </c>
      <c r="F55" s="164">
        <v>1</v>
      </c>
      <c r="G55" s="179">
        <v>0</v>
      </c>
      <c r="H55" s="176">
        <v>1</v>
      </c>
      <c r="I55" s="164">
        <v>11</v>
      </c>
      <c r="J55" s="179">
        <v>1</v>
      </c>
      <c r="K55" s="170">
        <v>1</v>
      </c>
    </row>
    <row r="56" spans="1:11" ht="47.1" customHeight="1" x14ac:dyDescent="0.25">
      <c r="A56" s="94" t="s">
        <v>219</v>
      </c>
      <c r="B56" s="69" t="s">
        <v>229</v>
      </c>
      <c r="D56" s="95" t="s">
        <v>230</v>
      </c>
      <c r="E56" s="94" t="s">
        <v>132</v>
      </c>
      <c r="F56" s="164">
        <v>0</v>
      </c>
      <c r="G56" s="168">
        <v>0</v>
      </c>
      <c r="H56" s="169">
        <v>0</v>
      </c>
      <c r="I56" s="164">
        <v>3</v>
      </c>
      <c r="J56" s="179">
        <v>1</v>
      </c>
      <c r="K56" s="170">
        <v>1</v>
      </c>
    </row>
    <row r="57" spans="1:11" ht="46.5" customHeight="1" x14ac:dyDescent="0.25">
      <c r="A57" s="98" t="s">
        <v>219</v>
      </c>
      <c r="B57" s="101" t="s">
        <v>227</v>
      </c>
      <c r="D57" s="99" t="s">
        <v>228</v>
      </c>
      <c r="E57" s="98" t="s">
        <v>132</v>
      </c>
      <c r="F57" s="180">
        <v>0</v>
      </c>
      <c r="G57" s="168">
        <v>0</v>
      </c>
      <c r="H57" s="169">
        <v>0</v>
      </c>
      <c r="I57" s="166">
        <v>161</v>
      </c>
      <c r="J57" s="179">
        <v>6</v>
      </c>
      <c r="K57" s="170">
        <v>6</v>
      </c>
    </row>
    <row r="58" spans="1:11" ht="30" customHeight="1" x14ac:dyDescent="0.25">
      <c r="A58" s="98" t="s">
        <v>219</v>
      </c>
      <c r="B58" s="101" t="s">
        <v>229</v>
      </c>
      <c r="D58" s="99" t="s">
        <v>230</v>
      </c>
      <c r="E58" s="98" t="s">
        <v>132</v>
      </c>
      <c r="F58" s="180">
        <v>0</v>
      </c>
      <c r="G58" s="168">
        <v>0</v>
      </c>
      <c r="H58" s="169">
        <v>0</v>
      </c>
      <c r="I58" s="180">
        <v>5</v>
      </c>
      <c r="J58" s="179">
        <v>1</v>
      </c>
      <c r="K58" s="170">
        <v>1</v>
      </c>
    </row>
    <row r="59" spans="1:11" s="73" customFormat="1" ht="15" hidden="1" customHeight="1" x14ac:dyDescent="0.25">
      <c r="F59" s="181"/>
      <c r="I59" s="181"/>
    </row>
    <row r="77" ht="15.75" hidden="1" customHeight="1" x14ac:dyDescent="0.25"/>
  </sheetData>
  <autoFilter ref="A2:K58" xr:uid="{00000000-0009-0000-0000-000005000000}"/>
  <mergeCells count="8">
    <mergeCell ref="J1:J2"/>
    <mergeCell ref="K1:K2"/>
    <mergeCell ref="A1:A2"/>
    <mergeCell ref="E1:E2"/>
    <mergeCell ref="F1:F2"/>
    <mergeCell ref="G1:G2"/>
    <mergeCell ref="H1:H2"/>
    <mergeCell ref="I1:I2"/>
  </mergeCells>
  <pageMargins left="0.70866141732283472" right="0.24479166666666666" top="0.74803149606299213" bottom="0.74803149606299213" header="0.31496062992125984" footer="0.31496062992125984"/>
  <pageSetup paperSize="9" scale="50" fitToHeight="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126"/>
  <sheetViews>
    <sheetView zoomScale="87" zoomScaleNormal="100" workbookViewId="0">
      <selection activeCell="F12" sqref="F12"/>
    </sheetView>
  </sheetViews>
  <sheetFormatPr defaultColWidth="0" defaultRowHeight="15" customHeight="1" zeroHeight="1" x14ac:dyDescent="0.25"/>
  <cols>
    <col min="1" max="1" width="16.28515625" bestFit="1" customWidth="1"/>
    <col min="2" max="2" width="9.85546875" bestFit="1" customWidth="1"/>
    <col min="3" max="3" width="58" customWidth="1"/>
    <col min="4" max="4" width="13.85546875" bestFit="1" customWidth="1"/>
    <col min="5" max="5" width="15" bestFit="1" customWidth="1"/>
    <col min="6" max="6" width="15" customWidth="1"/>
    <col min="7" max="7" width="13.140625" bestFit="1" customWidth="1"/>
    <col min="8" max="8" width="13.28515625" customWidth="1"/>
    <col min="9" max="9" width="5.42578125" style="73" customWidth="1"/>
    <col min="10" max="10" width="9.140625" hidden="1" customWidth="1"/>
    <col min="11" max="16384" width="9.140625" hidden="1"/>
  </cols>
  <sheetData>
    <row r="1" spans="1:6" ht="15" customHeight="1" x14ac:dyDescent="0.25">
      <c r="B1" s="257" t="s">
        <v>305</v>
      </c>
      <c r="C1" s="257"/>
    </row>
    <row r="2" spans="1:6" ht="27" customHeight="1" x14ac:dyDescent="0.25">
      <c r="A2" s="253" t="s">
        <v>104</v>
      </c>
      <c r="B2" s="254" t="s">
        <v>105</v>
      </c>
      <c r="C2" s="254"/>
      <c r="D2" s="254" t="s">
        <v>106</v>
      </c>
      <c r="E2" s="254" t="s">
        <v>110</v>
      </c>
      <c r="F2" s="252" t="s">
        <v>303</v>
      </c>
    </row>
    <row r="3" spans="1:6" ht="30.75" customHeight="1" x14ac:dyDescent="0.25">
      <c r="A3" s="253"/>
      <c r="B3" s="93" t="s">
        <v>113</v>
      </c>
      <c r="C3" s="93" t="s">
        <v>114</v>
      </c>
      <c r="D3" s="254"/>
      <c r="E3" s="254"/>
      <c r="F3" s="252"/>
    </row>
    <row r="4" spans="1:6" ht="30" customHeight="1" x14ac:dyDescent="0.25">
      <c r="A4" s="94" t="s">
        <v>115</v>
      </c>
      <c r="B4" s="69" t="s">
        <v>231</v>
      </c>
      <c r="C4" s="100" t="s">
        <v>232</v>
      </c>
      <c r="D4" s="94" t="s">
        <v>121</v>
      </c>
      <c r="E4" s="272">
        <v>2363543</v>
      </c>
      <c r="F4" s="273">
        <v>42000</v>
      </c>
    </row>
    <row r="5" spans="1:6" ht="30" customHeight="1" x14ac:dyDescent="0.25">
      <c r="A5" s="94" t="s">
        <v>115</v>
      </c>
      <c r="B5" s="69" t="s">
        <v>233</v>
      </c>
      <c r="C5" s="100" t="s">
        <v>234</v>
      </c>
      <c r="D5" s="94" t="s">
        <v>132</v>
      </c>
      <c r="E5" s="272">
        <v>42</v>
      </c>
      <c r="F5" s="273">
        <v>1</v>
      </c>
    </row>
    <row r="6" spans="1:6" ht="30" customHeight="1" x14ac:dyDescent="0.25">
      <c r="A6" s="94" t="s">
        <v>115</v>
      </c>
      <c r="B6" s="69" t="s">
        <v>116</v>
      </c>
      <c r="C6" s="95" t="s">
        <v>117</v>
      </c>
      <c r="D6" s="94" t="s">
        <v>118</v>
      </c>
      <c r="E6" s="274">
        <v>26.34</v>
      </c>
      <c r="F6" s="273" t="s">
        <v>306</v>
      </c>
    </row>
    <row r="7" spans="1:6" ht="30" customHeight="1" x14ac:dyDescent="0.25">
      <c r="A7" s="94" t="s">
        <v>115</v>
      </c>
      <c r="B7" s="69" t="s">
        <v>145</v>
      </c>
      <c r="C7" s="95" t="s">
        <v>146</v>
      </c>
      <c r="D7" s="97" t="s">
        <v>124</v>
      </c>
      <c r="E7" s="274">
        <v>110.57</v>
      </c>
      <c r="F7" s="273">
        <v>4.5640000000000001</v>
      </c>
    </row>
    <row r="8" spans="1:6" ht="30" customHeight="1" x14ac:dyDescent="0.25">
      <c r="A8" s="94" t="s">
        <v>115</v>
      </c>
      <c r="B8" s="69" t="s">
        <v>122</v>
      </c>
      <c r="C8" s="95" t="s">
        <v>123</v>
      </c>
      <c r="D8" s="94" t="s">
        <v>124</v>
      </c>
      <c r="E8" s="274">
        <v>324.58</v>
      </c>
      <c r="F8" s="273">
        <v>1.9970000000000001</v>
      </c>
    </row>
    <row r="9" spans="1:6" ht="30" customHeight="1" x14ac:dyDescent="0.25">
      <c r="A9" s="94" t="s">
        <v>115</v>
      </c>
      <c r="B9" s="69" t="s">
        <v>125</v>
      </c>
      <c r="C9" s="95" t="s">
        <v>126</v>
      </c>
      <c r="D9" s="94" t="s">
        <v>127</v>
      </c>
      <c r="E9" s="272">
        <v>884363</v>
      </c>
      <c r="F9" s="273" t="s">
        <v>306</v>
      </c>
    </row>
    <row r="10" spans="1:6" ht="30" customHeight="1" x14ac:dyDescent="0.25">
      <c r="A10" s="94" t="s">
        <v>115</v>
      </c>
      <c r="B10" s="69" t="s">
        <v>128</v>
      </c>
      <c r="C10" s="187" t="s">
        <v>129</v>
      </c>
      <c r="D10" s="94" t="s">
        <v>118</v>
      </c>
      <c r="E10" s="274" t="s">
        <v>327</v>
      </c>
      <c r="F10" s="274" t="s">
        <v>327</v>
      </c>
    </row>
    <row r="11" spans="1:6" ht="30" customHeight="1" x14ac:dyDescent="0.25">
      <c r="A11" s="94" t="s">
        <v>115</v>
      </c>
      <c r="B11" s="69" t="s">
        <v>130</v>
      </c>
      <c r="C11" s="95" t="s">
        <v>131</v>
      </c>
      <c r="D11" s="94" t="s">
        <v>132</v>
      </c>
      <c r="E11" s="272">
        <v>27</v>
      </c>
      <c r="F11" s="273" t="s">
        <v>306</v>
      </c>
    </row>
    <row r="12" spans="1:6" ht="30" customHeight="1" x14ac:dyDescent="0.25">
      <c r="A12" s="94" t="s">
        <v>115</v>
      </c>
      <c r="B12" s="69" t="s">
        <v>133</v>
      </c>
      <c r="C12" s="95" t="s">
        <v>134</v>
      </c>
      <c r="D12" s="94" t="s">
        <v>135</v>
      </c>
      <c r="E12" s="272">
        <v>151870</v>
      </c>
      <c r="F12" s="273">
        <v>14187250</v>
      </c>
    </row>
    <row r="13" spans="1:6" ht="30" customHeight="1" x14ac:dyDescent="0.25">
      <c r="A13" s="94" t="s">
        <v>115</v>
      </c>
      <c r="B13" s="186" t="s">
        <v>138</v>
      </c>
      <c r="C13" s="187" t="s">
        <v>139</v>
      </c>
      <c r="D13" s="188" t="s">
        <v>140</v>
      </c>
      <c r="E13" s="272" t="s">
        <v>327</v>
      </c>
      <c r="F13" s="274" t="s">
        <v>327</v>
      </c>
    </row>
    <row r="14" spans="1:6" ht="30" customHeight="1" x14ac:dyDescent="0.25">
      <c r="A14" s="94" t="s">
        <v>115</v>
      </c>
      <c r="B14" s="69" t="s">
        <v>119</v>
      </c>
      <c r="C14" s="95" t="s">
        <v>120</v>
      </c>
      <c r="D14" s="94" t="s">
        <v>121</v>
      </c>
      <c r="E14" s="272">
        <v>91723</v>
      </c>
      <c r="F14" s="273" t="s">
        <v>306</v>
      </c>
    </row>
    <row r="15" spans="1:6" ht="30" customHeight="1" x14ac:dyDescent="0.25">
      <c r="A15" s="94" t="s">
        <v>115</v>
      </c>
      <c r="B15" s="69" t="s">
        <v>141</v>
      </c>
      <c r="C15" s="95" t="s">
        <v>142</v>
      </c>
      <c r="D15" s="94" t="s">
        <v>121</v>
      </c>
      <c r="E15" s="272">
        <v>338</v>
      </c>
      <c r="F15" s="273" t="s">
        <v>306</v>
      </c>
    </row>
    <row r="16" spans="1:6" ht="30" customHeight="1" x14ac:dyDescent="0.25">
      <c r="A16" s="94" t="s">
        <v>115</v>
      </c>
      <c r="B16" s="69" t="s">
        <v>143</v>
      </c>
      <c r="C16" s="95" t="s">
        <v>144</v>
      </c>
      <c r="D16" s="97" t="s">
        <v>121</v>
      </c>
      <c r="E16" s="272">
        <v>124</v>
      </c>
      <c r="F16" s="273" t="s">
        <v>306</v>
      </c>
    </row>
    <row r="17" spans="1:6" ht="30" customHeight="1" x14ac:dyDescent="0.25">
      <c r="A17" s="94" t="s">
        <v>147</v>
      </c>
      <c r="B17" s="69" t="s">
        <v>148</v>
      </c>
      <c r="C17" s="95" t="s">
        <v>149</v>
      </c>
      <c r="D17" s="94" t="s">
        <v>135</v>
      </c>
      <c r="E17" s="274">
        <v>163599.63839143701</v>
      </c>
      <c r="F17" s="273">
        <v>58067</v>
      </c>
    </row>
    <row r="18" spans="1:6" ht="30" customHeight="1" x14ac:dyDescent="0.25">
      <c r="A18" s="94" t="s">
        <v>147</v>
      </c>
      <c r="B18" s="69" t="s">
        <v>150</v>
      </c>
      <c r="C18" s="95" t="s">
        <v>151</v>
      </c>
      <c r="D18" s="94" t="s">
        <v>152</v>
      </c>
      <c r="E18" s="274">
        <v>24539.752435449216</v>
      </c>
      <c r="F18" s="273" t="s">
        <v>306</v>
      </c>
    </row>
    <row r="19" spans="1:6" ht="30" customHeight="1" x14ac:dyDescent="0.25">
      <c r="A19" s="94" t="s">
        <v>147</v>
      </c>
      <c r="B19" s="69" t="s">
        <v>153</v>
      </c>
      <c r="C19" s="95" t="s">
        <v>304</v>
      </c>
      <c r="D19" s="94" t="s">
        <v>155</v>
      </c>
      <c r="E19" s="274">
        <v>9325.2113745250681</v>
      </c>
      <c r="F19" s="273" t="s">
        <v>306</v>
      </c>
    </row>
    <row r="20" spans="1:6" ht="30" customHeight="1" x14ac:dyDescent="0.25">
      <c r="A20" s="94" t="s">
        <v>147</v>
      </c>
      <c r="B20" s="69" t="s">
        <v>156</v>
      </c>
      <c r="C20" s="95" t="s">
        <v>157</v>
      </c>
      <c r="D20" s="94" t="s">
        <v>158</v>
      </c>
      <c r="E20" s="274">
        <v>7.5413648714826751</v>
      </c>
      <c r="F20" s="273" t="s">
        <v>306</v>
      </c>
    </row>
    <row r="21" spans="1:6" ht="30" customHeight="1" x14ac:dyDescent="0.25">
      <c r="A21" s="94" t="s">
        <v>147</v>
      </c>
      <c r="B21" s="69" t="s">
        <v>159</v>
      </c>
      <c r="C21" s="95" t="s">
        <v>160</v>
      </c>
      <c r="D21" s="94" t="s">
        <v>152</v>
      </c>
      <c r="E21" s="274">
        <v>8295.3256102069972</v>
      </c>
      <c r="F21" s="273" t="s">
        <v>306</v>
      </c>
    </row>
    <row r="22" spans="1:6" ht="30" customHeight="1" x14ac:dyDescent="0.25">
      <c r="A22" s="94" t="s">
        <v>147</v>
      </c>
      <c r="B22" s="69" t="s">
        <v>161</v>
      </c>
      <c r="C22" s="95" t="s">
        <v>162</v>
      </c>
      <c r="D22" s="94" t="s">
        <v>132</v>
      </c>
      <c r="E22" s="265">
        <v>5.2724527183519045</v>
      </c>
      <c r="F22" s="273" t="s">
        <v>306</v>
      </c>
    </row>
    <row r="23" spans="1:6" ht="30" customHeight="1" x14ac:dyDescent="0.25">
      <c r="A23" s="94" t="s">
        <v>163</v>
      </c>
      <c r="B23" s="69" t="s">
        <v>175</v>
      </c>
      <c r="C23" s="95" t="s">
        <v>176</v>
      </c>
      <c r="D23" s="94" t="s">
        <v>132</v>
      </c>
      <c r="E23" s="272">
        <v>333</v>
      </c>
      <c r="F23" s="273">
        <v>5</v>
      </c>
    </row>
    <row r="24" spans="1:6" ht="30" customHeight="1" x14ac:dyDescent="0.25">
      <c r="A24" s="94" t="s">
        <v>163</v>
      </c>
      <c r="B24" s="69" t="s">
        <v>183</v>
      </c>
      <c r="C24" s="95" t="s">
        <v>184</v>
      </c>
      <c r="D24" s="94" t="s">
        <v>132</v>
      </c>
      <c r="E24" s="272">
        <v>46</v>
      </c>
      <c r="F24" s="273">
        <v>2</v>
      </c>
    </row>
    <row r="25" spans="1:6" ht="30" customHeight="1" x14ac:dyDescent="0.25">
      <c r="A25" s="94" t="s">
        <v>163</v>
      </c>
      <c r="B25" s="69" t="s">
        <v>177</v>
      </c>
      <c r="C25" s="95" t="s">
        <v>178</v>
      </c>
      <c r="D25" s="94" t="s">
        <v>132</v>
      </c>
      <c r="E25" s="272">
        <v>46</v>
      </c>
      <c r="F25" s="273" t="s">
        <v>306</v>
      </c>
    </row>
    <row r="26" spans="1:6" ht="30" customHeight="1" x14ac:dyDescent="0.25">
      <c r="A26" s="94" t="s">
        <v>163</v>
      </c>
      <c r="B26" s="69" t="s">
        <v>179</v>
      </c>
      <c r="C26" s="95" t="s">
        <v>180</v>
      </c>
      <c r="D26" s="94" t="s">
        <v>121</v>
      </c>
      <c r="E26" s="272">
        <v>270486</v>
      </c>
      <c r="F26" s="273" t="s">
        <v>306</v>
      </c>
    </row>
    <row r="27" spans="1:6" ht="45.75" customHeight="1" x14ac:dyDescent="0.25">
      <c r="A27" s="94" t="s">
        <v>163</v>
      </c>
      <c r="B27" s="69" t="s">
        <v>185</v>
      </c>
      <c r="C27" s="95" t="s">
        <v>186</v>
      </c>
      <c r="D27" s="94" t="s">
        <v>132</v>
      </c>
      <c r="E27" s="272">
        <v>6</v>
      </c>
      <c r="F27" s="273" t="s">
        <v>306</v>
      </c>
    </row>
    <row r="28" spans="1:6" ht="30" customHeight="1" x14ac:dyDescent="0.25">
      <c r="A28" s="94" t="s">
        <v>163</v>
      </c>
      <c r="B28" s="69" t="s">
        <v>181</v>
      </c>
      <c r="C28" s="95" t="s">
        <v>182</v>
      </c>
      <c r="D28" s="94" t="s">
        <v>121</v>
      </c>
      <c r="E28" s="272">
        <v>138</v>
      </c>
      <c r="F28" s="273" t="s">
        <v>306</v>
      </c>
    </row>
    <row r="29" spans="1:6" ht="30" customHeight="1" x14ac:dyDescent="0.25">
      <c r="A29" s="94" t="s">
        <v>163</v>
      </c>
      <c r="B29" s="69" t="s">
        <v>187</v>
      </c>
      <c r="C29" s="95" t="s">
        <v>188</v>
      </c>
      <c r="D29" s="94" t="s">
        <v>132</v>
      </c>
      <c r="E29" s="272">
        <v>4412</v>
      </c>
      <c r="F29" s="273" t="s">
        <v>306</v>
      </c>
    </row>
    <row r="30" spans="1:6" ht="30" customHeight="1" x14ac:dyDescent="0.25">
      <c r="A30" s="94" t="s">
        <v>163</v>
      </c>
      <c r="B30" s="69" t="s">
        <v>189</v>
      </c>
      <c r="C30" s="95" t="s">
        <v>190</v>
      </c>
      <c r="D30" s="94" t="s">
        <v>132</v>
      </c>
      <c r="E30" s="272">
        <v>85</v>
      </c>
      <c r="F30" s="273" t="s">
        <v>306</v>
      </c>
    </row>
    <row r="31" spans="1:6" ht="30" customHeight="1" x14ac:dyDescent="0.25">
      <c r="A31" s="94" t="s">
        <v>163</v>
      </c>
      <c r="B31" s="69" t="s">
        <v>191</v>
      </c>
      <c r="C31" s="95" t="s">
        <v>192</v>
      </c>
      <c r="D31" s="94" t="s">
        <v>132</v>
      </c>
      <c r="E31" s="272">
        <v>11268</v>
      </c>
      <c r="F31" s="273" t="s">
        <v>306</v>
      </c>
    </row>
    <row r="32" spans="1:6" ht="30" customHeight="1" x14ac:dyDescent="0.25">
      <c r="A32" s="94" t="s">
        <v>163</v>
      </c>
      <c r="B32" s="69" t="s">
        <v>193</v>
      </c>
      <c r="C32" s="95" t="s">
        <v>194</v>
      </c>
      <c r="D32" s="94" t="s">
        <v>132</v>
      </c>
      <c r="E32" s="272">
        <v>417</v>
      </c>
      <c r="F32" s="273" t="s">
        <v>306</v>
      </c>
    </row>
    <row r="33" spans="1:6" ht="30" customHeight="1" x14ac:dyDescent="0.25">
      <c r="A33" s="94" t="s">
        <v>163</v>
      </c>
      <c r="B33" s="69" t="s">
        <v>195</v>
      </c>
      <c r="C33" s="95" t="s">
        <v>196</v>
      </c>
      <c r="D33" s="94" t="s">
        <v>121</v>
      </c>
      <c r="E33" s="272">
        <v>2442</v>
      </c>
      <c r="F33" s="273">
        <v>211</v>
      </c>
    </row>
    <row r="34" spans="1:6" ht="30" customHeight="1" x14ac:dyDescent="0.25">
      <c r="A34" s="94" t="s">
        <v>163</v>
      </c>
      <c r="B34" s="69" t="s">
        <v>197</v>
      </c>
      <c r="C34" s="95" t="s">
        <v>198</v>
      </c>
      <c r="D34" s="94" t="s">
        <v>132</v>
      </c>
      <c r="E34" s="272">
        <v>3</v>
      </c>
      <c r="F34" s="273" t="s">
        <v>306</v>
      </c>
    </row>
    <row r="35" spans="1:6" ht="30" customHeight="1" x14ac:dyDescent="0.25">
      <c r="A35" s="94" t="s">
        <v>163</v>
      </c>
      <c r="B35" s="69" t="s">
        <v>199</v>
      </c>
      <c r="C35" s="95" t="s">
        <v>200</v>
      </c>
      <c r="D35" s="94" t="s">
        <v>132</v>
      </c>
      <c r="E35" s="272">
        <v>47</v>
      </c>
      <c r="F35" s="273" t="s">
        <v>306</v>
      </c>
    </row>
    <row r="36" spans="1:6" ht="30" customHeight="1" x14ac:dyDescent="0.25">
      <c r="A36" s="94" t="s">
        <v>163</v>
      </c>
      <c r="B36" s="69" t="s">
        <v>211</v>
      </c>
      <c r="C36" s="95" t="s">
        <v>212</v>
      </c>
      <c r="D36" s="94" t="s">
        <v>132</v>
      </c>
      <c r="E36" s="272">
        <v>10103</v>
      </c>
      <c r="F36" s="273" t="s">
        <v>306</v>
      </c>
    </row>
    <row r="37" spans="1:6" ht="30" customHeight="1" x14ac:dyDescent="0.25">
      <c r="A37" s="94" t="s">
        <v>163</v>
      </c>
      <c r="B37" s="69" t="s">
        <v>213</v>
      </c>
      <c r="C37" s="95" t="s">
        <v>214</v>
      </c>
      <c r="D37" s="94" t="s">
        <v>132</v>
      </c>
      <c r="E37" s="272">
        <v>93</v>
      </c>
      <c r="F37" s="273">
        <v>1</v>
      </c>
    </row>
    <row r="38" spans="1:6" ht="30" customHeight="1" x14ac:dyDescent="0.25">
      <c r="A38" s="94" t="s">
        <v>163</v>
      </c>
      <c r="B38" s="69" t="s">
        <v>215</v>
      </c>
      <c r="C38" s="95" t="s">
        <v>216</v>
      </c>
      <c r="D38" s="94" t="s">
        <v>132</v>
      </c>
      <c r="E38" s="272">
        <v>4</v>
      </c>
      <c r="F38" s="273" t="s">
        <v>306</v>
      </c>
    </row>
    <row r="39" spans="1:6" ht="30" customHeight="1" x14ac:dyDescent="0.25">
      <c r="A39" s="94" t="s">
        <v>163</v>
      </c>
      <c r="B39" s="69" t="s">
        <v>217</v>
      </c>
      <c r="C39" s="95" t="s">
        <v>218</v>
      </c>
      <c r="D39" s="94" t="s">
        <v>132</v>
      </c>
      <c r="E39" s="272">
        <v>7273.967487828133</v>
      </c>
      <c r="F39" s="273" t="s">
        <v>306</v>
      </c>
    </row>
    <row r="40" spans="1:6" ht="49.5" customHeight="1" x14ac:dyDescent="0.25">
      <c r="A40" s="94" t="s">
        <v>163</v>
      </c>
      <c r="B40" s="69" t="s">
        <v>201</v>
      </c>
      <c r="C40" s="95" t="s">
        <v>202</v>
      </c>
      <c r="D40" s="94" t="s">
        <v>132</v>
      </c>
      <c r="E40" s="272">
        <v>349.69002045621693</v>
      </c>
      <c r="F40" s="273">
        <v>1</v>
      </c>
    </row>
    <row r="41" spans="1:6" ht="30" customHeight="1" x14ac:dyDescent="0.25">
      <c r="A41" s="94" t="s">
        <v>163</v>
      </c>
      <c r="B41" s="69" t="s">
        <v>203</v>
      </c>
      <c r="C41" s="95" t="s">
        <v>204</v>
      </c>
      <c r="D41" s="94" t="s">
        <v>121</v>
      </c>
      <c r="E41" s="272">
        <v>2511932.3708009464</v>
      </c>
      <c r="F41" s="273">
        <v>60</v>
      </c>
    </row>
    <row r="42" spans="1:6" ht="30" customHeight="1" x14ac:dyDescent="0.25">
      <c r="A42" s="94" t="s">
        <v>163</v>
      </c>
      <c r="B42" s="69" t="s">
        <v>205</v>
      </c>
      <c r="C42" s="95" t="s">
        <v>206</v>
      </c>
      <c r="D42" s="94" t="s">
        <v>132</v>
      </c>
      <c r="E42" s="272">
        <v>183.66508492804272</v>
      </c>
      <c r="F42" s="273" t="s">
        <v>306</v>
      </c>
    </row>
    <row r="43" spans="1:6" ht="30" customHeight="1" x14ac:dyDescent="0.25">
      <c r="A43" s="94" t="s">
        <v>163</v>
      </c>
      <c r="B43" s="69" t="s">
        <v>207</v>
      </c>
      <c r="C43" s="95" t="s">
        <v>208</v>
      </c>
      <c r="D43" s="94" t="s">
        <v>132</v>
      </c>
      <c r="E43" s="272">
        <v>68.485285905371867</v>
      </c>
      <c r="F43" s="273" t="s">
        <v>306</v>
      </c>
    </row>
    <row r="44" spans="1:6" ht="53.25" customHeight="1" x14ac:dyDescent="0.25">
      <c r="A44" s="94" t="s">
        <v>163</v>
      </c>
      <c r="B44" s="69" t="s">
        <v>209</v>
      </c>
      <c r="C44" s="95" t="s">
        <v>210</v>
      </c>
      <c r="D44" s="94" t="s">
        <v>132</v>
      </c>
      <c r="E44" s="272">
        <v>7</v>
      </c>
      <c r="F44" s="273" t="s">
        <v>306</v>
      </c>
    </row>
    <row r="45" spans="1:6" ht="30" customHeight="1" x14ac:dyDescent="0.25">
      <c r="A45" s="94" t="s">
        <v>219</v>
      </c>
      <c r="B45" s="69" t="s">
        <v>220</v>
      </c>
      <c r="C45" s="95" t="s">
        <v>221</v>
      </c>
      <c r="D45" s="94" t="s">
        <v>132</v>
      </c>
      <c r="E45" s="272">
        <v>608</v>
      </c>
      <c r="F45" s="273" t="s">
        <v>306</v>
      </c>
    </row>
    <row r="46" spans="1:6" ht="30" customHeight="1" x14ac:dyDescent="0.25">
      <c r="A46" s="94" t="s">
        <v>219</v>
      </c>
      <c r="B46" s="69" t="s">
        <v>222</v>
      </c>
      <c r="C46" s="95" t="s">
        <v>223</v>
      </c>
      <c r="D46" s="94" t="s">
        <v>132</v>
      </c>
      <c r="E46" s="272">
        <v>62</v>
      </c>
      <c r="F46" s="273" t="s">
        <v>306</v>
      </c>
    </row>
    <row r="47" spans="1:6" ht="30" customHeight="1" x14ac:dyDescent="0.25">
      <c r="A47" s="94" t="s">
        <v>219</v>
      </c>
      <c r="B47" s="69" t="s">
        <v>224</v>
      </c>
      <c r="C47" s="95" t="s">
        <v>225</v>
      </c>
      <c r="D47" s="94" t="s">
        <v>132</v>
      </c>
      <c r="E47" s="272">
        <v>42</v>
      </c>
      <c r="F47" s="273" t="s">
        <v>306</v>
      </c>
    </row>
    <row r="48" spans="1:6" ht="30" customHeight="1" x14ac:dyDescent="0.25">
      <c r="A48" s="94" t="s">
        <v>219</v>
      </c>
      <c r="B48" s="69" t="s">
        <v>227</v>
      </c>
      <c r="C48" s="95" t="s">
        <v>228</v>
      </c>
      <c r="D48" s="94" t="s">
        <v>132</v>
      </c>
      <c r="E48" s="272">
        <v>125</v>
      </c>
      <c r="F48" s="273" t="s">
        <v>306</v>
      </c>
    </row>
    <row r="49" spans="1:8" ht="30" customHeight="1" x14ac:dyDescent="0.25">
      <c r="A49" s="94" t="s">
        <v>219</v>
      </c>
      <c r="B49" s="69" t="s">
        <v>161</v>
      </c>
      <c r="C49" s="95" t="s">
        <v>162</v>
      </c>
      <c r="D49" s="94" t="s">
        <v>132</v>
      </c>
      <c r="E49" s="272">
        <v>5</v>
      </c>
      <c r="F49" s="273" t="s">
        <v>306</v>
      </c>
      <c r="G49" s="73"/>
      <c r="H49" s="73"/>
    </row>
    <row r="50" spans="1:8" s="73" customFormat="1" x14ac:dyDescent="0.25">
      <c r="G50"/>
      <c r="H50"/>
    </row>
    <row r="51" spans="1:8" hidden="1" x14ac:dyDescent="0.25"/>
    <row r="52" spans="1:8" hidden="1" x14ac:dyDescent="0.25"/>
    <row r="53" spans="1:8" hidden="1" x14ac:dyDescent="0.25"/>
    <row r="54" spans="1:8" hidden="1" x14ac:dyDescent="0.25"/>
    <row r="55" spans="1:8" hidden="1" x14ac:dyDescent="0.25"/>
    <row r="56" spans="1:8" hidden="1" x14ac:dyDescent="0.25"/>
    <row r="57" spans="1:8" hidden="1" x14ac:dyDescent="0.25"/>
    <row r="58" spans="1:8" hidden="1" x14ac:dyDescent="0.25"/>
    <row r="59" spans="1:8" hidden="1" x14ac:dyDescent="0.25"/>
    <row r="60" spans="1:8" hidden="1" x14ac:dyDescent="0.25"/>
    <row r="61" spans="1:8" hidden="1" x14ac:dyDescent="0.25"/>
    <row r="62" spans="1:8" hidden="1" x14ac:dyDescent="0.25"/>
    <row r="63" spans="1:8" hidden="1" x14ac:dyDescent="0.25"/>
    <row r="64" spans="1:8" hidden="1" x14ac:dyDescent="0.25"/>
    <row r="65" hidden="1" x14ac:dyDescent="0.25"/>
    <row r="66" hidden="1" x14ac:dyDescent="0.25"/>
    <row r="67" hidden="1" x14ac:dyDescent="0.25"/>
    <row r="68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</sheetData>
  <mergeCells count="6">
    <mergeCell ref="F2:F3"/>
    <mergeCell ref="B1:C1"/>
    <mergeCell ref="A2:A3"/>
    <mergeCell ref="B2:C2"/>
    <mergeCell ref="D2:D3"/>
    <mergeCell ref="E2:E3"/>
  </mergeCells>
  <pageMargins left="0.70866141732283472" right="0.70866141732283472" top="0.74803149606299213" bottom="0.74803149606299213" header="0.31496062992125984" footer="0.31496062992125984"/>
  <pageSetup paperSize="8" scale="84" fitToHeight="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126"/>
  <sheetViews>
    <sheetView zoomScale="87" zoomScaleNormal="100" workbookViewId="0">
      <selection activeCell="E4" sqref="E4:F49"/>
    </sheetView>
  </sheetViews>
  <sheetFormatPr defaultColWidth="0" defaultRowHeight="15" customHeight="1" zeroHeight="1" x14ac:dyDescent="0.25"/>
  <cols>
    <col min="1" max="1" width="16.28515625" bestFit="1" customWidth="1"/>
    <col min="2" max="2" width="9.85546875" bestFit="1" customWidth="1"/>
    <col min="3" max="3" width="58" customWidth="1"/>
    <col min="4" max="4" width="13.85546875" bestFit="1" customWidth="1"/>
    <col min="5" max="5" width="15" bestFit="1" customWidth="1"/>
    <col min="6" max="6" width="15" customWidth="1"/>
    <col min="7" max="7" width="13.140625" bestFit="1" customWidth="1"/>
    <col min="8" max="8" width="13.28515625" customWidth="1"/>
    <col min="9" max="9" width="5.42578125" style="73" customWidth="1"/>
    <col min="10" max="10" width="9.140625" hidden="1" customWidth="1"/>
    <col min="11" max="16384" width="9.140625" hidden="1"/>
  </cols>
  <sheetData>
    <row r="1" spans="1:6" ht="15" customHeight="1" x14ac:dyDescent="0.25">
      <c r="B1" s="257" t="s">
        <v>307</v>
      </c>
      <c r="C1" s="257"/>
    </row>
    <row r="2" spans="1:6" ht="27" customHeight="1" x14ac:dyDescent="0.25">
      <c r="A2" s="253" t="s">
        <v>104</v>
      </c>
      <c r="B2" s="254" t="s">
        <v>105</v>
      </c>
      <c r="C2" s="254"/>
      <c r="D2" s="254" t="s">
        <v>106</v>
      </c>
      <c r="E2" s="254" t="s">
        <v>110</v>
      </c>
      <c r="F2" s="252" t="s">
        <v>303</v>
      </c>
    </row>
    <row r="3" spans="1:6" ht="30.75" customHeight="1" x14ac:dyDescent="0.25">
      <c r="A3" s="253"/>
      <c r="B3" s="93" t="s">
        <v>113</v>
      </c>
      <c r="C3" s="93" t="s">
        <v>114</v>
      </c>
      <c r="D3" s="254"/>
      <c r="E3" s="254"/>
      <c r="F3" s="252"/>
    </row>
    <row r="4" spans="1:6" ht="30" customHeight="1" x14ac:dyDescent="0.25">
      <c r="A4" s="94" t="s">
        <v>115</v>
      </c>
      <c r="B4" s="69" t="s">
        <v>231</v>
      </c>
      <c r="C4" s="100" t="s">
        <v>232</v>
      </c>
      <c r="D4" s="94" t="s">
        <v>121</v>
      </c>
      <c r="E4" s="272">
        <v>2363543</v>
      </c>
      <c r="F4" s="273">
        <v>62900</v>
      </c>
    </row>
    <row r="5" spans="1:6" ht="30" customHeight="1" x14ac:dyDescent="0.25">
      <c r="A5" s="94" t="s">
        <v>115</v>
      </c>
      <c r="B5" s="69" t="s">
        <v>233</v>
      </c>
      <c r="C5" s="100" t="s">
        <v>234</v>
      </c>
      <c r="D5" s="94" t="s">
        <v>132</v>
      </c>
      <c r="E5" s="272">
        <v>42</v>
      </c>
      <c r="F5" s="273">
        <v>1</v>
      </c>
    </row>
    <row r="6" spans="1:6" ht="30" customHeight="1" x14ac:dyDescent="0.25">
      <c r="A6" s="94" t="s">
        <v>115</v>
      </c>
      <c r="B6" s="69" t="s">
        <v>116</v>
      </c>
      <c r="C6" s="95" t="s">
        <v>117</v>
      </c>
      <c r="D6" s="94" t="s">
        <v>118</v>
      </c>
      <c r="E6" s="274">
        <v>26.34</v>
      </c>
      <c r="F6" s="273" t="s">
        <v>306</v>
      </c>
    </row>
    <row r="7" spans="1:6" ht="30" customHeight="1" x14ac:dyDescent="0.25">
      <c r="A7" s="94" t="s">
        <v>115</v>
      </c>
      <c r="B7" s="69" t="s">
        <v>145</v>
      </c>
      <c r="C7" s="95" t="s">
        <v>146</v>
      </c>
      <c r="D7" s="97" t="s">
        <v>124</v>
      </c>
      <c r="E7" s="274">
        <v>110.57</v>
      </c>
      <c r="F7" s="275">
        <v>9.6</v>
      </c>
    </row>
    <row r="8" spans="1:6" ht="30" customHeight="1" x14ac:dyDescent="0.25">
      <c r="A8" s="94" t="s">
        <v>115</v>
      </c>
      <c r="B8" s="69" t="s">
        <v>122</v>
      </c>
      <c r="C8" s="95" t="s">
        <v>123</v>
      </c>
      <c r="D8" s="94" t="s">
        <v>124</v>
      </c>
      <c r="E8" s="274">
        <v>324.58</v>
      </c>
      <c r="F8" s="273">
        <v>1.2210000000000001</v>
      </c>
    </row>
    <row r="9" spans="1:6" ht="30" customHeight="1" x14ac:dyDescent="0.25">
      <c r="A9" s="94" t="s">
        <v>115</v>
      </c>
      <c r="B9" s="69" t="s">
        <v>125</v>
      </c>
      <c r="C9" s="95" t="s">
        <v>126</v>
      </c>
      <c r="D9" s="94" t="s">
        <v>127</v>
      </c>
      <c r="E9" s="272">
        <v>884363</v>
      </c>
      <c r="F9" s="273" t="s">
        <v>306</v>
      </c>
    </row>
    <row r="10" spans="1:6" ht="30" customHeight="1" x14ac:dyDescent="0.25">
      <c r="A10" s="94" t="s">
        <v>115</v>
      </c>
      <c r="B10" s="186" t="s">
        <v>128</v>
      </c>
      <c r="C10" s="187" t="s">
        <v>129</v>
      </c>
      <c r="D10" s="188" t="s">
        <v>118</v>
      </c>
      <c r="E10" s="274" t="s">
        <v>327</v>
      </c>
      <c r="F10" s="274" t="s">
        <v>327</v>
      </c>
    </row>
    <row r="11" spans="1:6" ht="30" customHeight="1" x14ac:dyDescent="0.25">
      <c r="A11" s="94" t="s">
        <v>115</v>
      </c>
      <c r="B11" s="69" t="s">
        <v>130</v>
      </c>
      <c r="C11" s="95" t="s">
        <v>131</v>
      </c>
      <c r="D11" s="94" t="s">
        <v>132</v>
      </c>
      <c r="E11" s="272">
        <v>27</v>
      </c>
      <c r="F11" s="273" t="s">
        <v>306</v>
      </c>
    </row>
    <row r="12" spans="1:6" ht="30" customHeight="1" x14ac:dyDescent="0.25">
      <c r="A12" s="94" t="s">
        <v>115</v>
      </c>
      <c r="B12" s="69" t="s">
        <v>133</v>
      </c>
      <c r="C12" s="95" t="s">
        <v>134</v>
      </c>
      <c r="D12" s="94" t="s">
        <v>135</v>
      </c>
      <c r="E12" s="272">
        <v>151870</v>
      </c>
      <c r="F12" s="273">
        <v>1000</v>
      </c>
    </row>
    <row r="13" spans="1:6" ht="30" customHeight="1" x14ac:dyDescent="0.25">
      <c r="A13" s="94" t="s">
        <v>115</v>
      </c>
      <c r="B13" s="186" t="s">
        <v>138</v>
      </c>
      <c r="C13" s="187" t="s">
        <v>139</v>
      </c>
      <c r="D13" s="188" t="s">
        <v>140</v>
      </c>
      <c r="E13" s="274" t="s">
        <v>327</v>
      </c>
      <c r="F13" s="274" t="s">
        <v>327</v>
      </c>
    </row>
    <row r="14" spans="1:6" ht="30" customHeight="1" x14ac:dyDescent="0.25">
      <c r="A14" s="94" t="s">
        <v>115</v>
      </c>
      <c r="B14" s="69" t="s">
        <v>119</v>
      </c>
      <c r="C14" s="95" t="s">
        <v>120</v>
      </c>
      <c r="D14" s="94" t="s">
        <v>121</v>
      </c>
      <c r="E14" s="272">
        <v>91723</v>
      </c>
      <c r="F14" s="273" t="s">
        <v>306</v>
      </c>
    </row>
    <row r="15" spans="1:6" ht="30" customHeight="1" x14ac:dyDescent="0.25">
      <c r="A15" s="94" t="s">
        <v>115</v>
      </c>
      <c r="B15" s="69" t="s">
        <v>141</v>
      </c>
      <c r="C15" s="95" t="s">
        <v>142</v>
      </c>
      <c r="D15" s="94" t="s">
        <v>121</v>
      </c>
      <c r="E15" s="272">
        <v>338</v>
      </c>
      <c r="F15" s="273" t="s">
        <v>306</v>
      </c>
    </row>
    <row r="16" spans="1:6" ht="30" customHeight="1" x14ac:dyDescent="0.25">
      <c r="A16" s="94" t="s">
        <v>115</v>
      </c>
      <c r="B16" s="69" t="s">
        <v>143</v>
      </c>
      <c r="C16" s="95" t="s">
        <v>144</v>
      </c>
      <c r="D16" s="97" t="s">
        <v>121</v>
      </c>
      <c r="E16" s="272">
        <v>124</v>
      </c>
      <c r="F16" s="273" t="s">
        <v>306</v>
      </c>
    </row>
    <row r="17" spans="1:6" ht="30" customHeight="1" x14ac:dyDescent="0.25">
      <c r="A17" s="94" t="s">
        <v>147</v>
      </c>
      <c r="B17" s="69" t="s">
        <v>148</v>
      </c>
      <c r="C17" s="95" t="s">
        <v>149</v>
      </c>
      <c r="D17" s="94" t="s">
        <v>135</v>
      </c>
      <c r="E17" s="274">
        <v>163599.63839143701</v>
      </c>
      <c r="F17" s="273">
        <v>1618</v>
      </c>
    </row>
    <row r="18" spans="1:6" ht="30" customHeight="1" x14ac:dyDescent="0.25">
      <c r="A18" s="94" t="s">
        <v>147</v>
      </c>
      <c r="B18" s="69" t="s">
        <v>150</v>
      </c>
      <c r="C18" s="95" t="s">
        <v>151</v>
      </c>
      <c r="D18" s="94" t="s">
        <v>152</v>
      </c>
      <c r="E18" s="274">
        <v>24539.752435449216</v>
      </c>
      <c r="F18" s="273" t="s">
        <v>306</v>
      </c>
    </row>
    <row r="19" spans="1:6" ht="30" customHeight="1" x14ac:dyDescent="0.25">
      <c r="A19" s="94" t="s">
        <v>147</v>
      </c>
      <c r="B19" s="69" t="s">
        <v>153</v>
      </c>
      <c r="C19" s="95" t="s">
        <v>304</v>
      </c>
      <c r="D19" s="94" t="s">
        <v>155</v>
      </c>
      <c r="E19" s="274">
        <v>9325.2113745250681</v>
      </c>
      <c r="F19" s="273">
        <v>81</v>
      </c>
    </row>
    <row r="20" spans="1:6" ht="30" customHeight="1" x14ac:dyDescent="0.25">
      <c r="A20" s="94" t="s">
        <v>147</v>
      </c>
      <c r="B20" s="69" t="s">
        <v>156</v>
      </c>
      <c r="C20" s="95" t="s">
        <v>157</v>
      </c>
      <c r="D20" s="94" t="s">
        <v>158</v>
      </c>
      <c r="E20" s="274">
        <v>7.5413648714826751</v>
      </c>
      <c r="F20" s="273" t="s">
        <v>306</v>
      </c>
    </row>
    <row r="21" spans="1:6" ht="30" customHeight="1" x14ac:dyDescent="0.25">
      <c r="A21" s="94" t="s">
        <v>147</v>
      </c>
      <c r="B21" s="69" t="s">
        <v>159</v>
      </c>
      <c r="C21" s="95" t="s">
        <v>160</v>
      </c>
      <c r="D21" s="94" t="s">
        <v>152</v>
      </c>
      <c r="E21" s="274">
        <v>8295.3256102069972</v>
      </c>
      <c r="F21" s="273" t="s">
        <v>306</v>
      </c>
    </row>
    <row r="22" spans="1:6" ht="30" customHeight="1" x14ac:dyDescent="0.25">
      <c r="A22" s="94" t="s">
        <v>147</v>
      </c>
      <c r="B22" s="69" t="s">
        <v>161</v>
      </c>
      <c r="C22" s="95" t="s">
        <v>162</v>
      </c>
      <c r="D22" s="94" t="s">
        <v>132</v>
      </c>
      <c r="E22" s="265">
        <v>5.2724527183519045</v>
      </c>
      <c r="F22" s="273" t="s">
        <v>306</v>
      </c>
    </row>
    <row r="23" spans="1:6" ht="30" customHeight="1" x14ac:dyDescent="0.25">
      <c r="A23" s="94" t="s">
        <v>163</v>
      </c>
      <c r="B23" s="69" t="s">
        <v>175</v>
      </c>
      <c r="C23" s="95" t="s">
        <v>176</v>
      </c>
      <c r="D23" s="94" t="s">
        <v>132</v>
      </c>
      <c r="E23" s="272">
        <v>333</v>
      </c>
      <c r="F23" s="273" t="s">
        <v>306</v>
      </c>
    </row>
    <row r="24" spans="1:6" ht="30" customHeight="1" x14ac:dyDescent="0.25">
      <c r="A24" s="94" t="s">
        <v>163</v>
      </c>
      <c r="B24" s="69" t="s">
        <v>183</v>
      </c>
      <c r="C24" s="95" t="s">
        <v>184</v>
      </c>
      <c r="D24" s="94" t="s">
        <v>132</v>
      </c>
      <c r="E24" s="272">
        <v>46</v>
      </c>
      <c r="F24" s="273">
        <v>10</v>
      </c>
    </row>
    <row r="25" spans="1:6" ht="30" customHeight="1" x14ac:dyDescent="0.25">
      <c r="A25" s="94" t="s">
        <v>163</v>
      </c>
      <c r="B25" s="69" t="s">
        <v>177</v>
      </c>
      <c r="C25" s="95" t="s">
        <v>178</v>
      </c>
      <c r="D25" s="94" t="s">
        <v>132</v>
      </c>
      <c r="E25" s="272">
        <v>46</v>
      </c>
      <c r="F25" s="273">
        <v>2</v>
      </c>
    </row>
    <row r="26" spans="1:6" ht="30" customHeight="1" x14ac:dyDescent="0.25">
      <c r="A26" s="94" t="s">
        <v>163</v>
      </c>
      <c r="B26" s="69" t="s">
        <v>179</v>
      </c>
      <c r="C26" s="95" t="s">
        <v>180</v>
      </c>
      <c r="D26" s="94" t="s">
        <v>121</v>
      </c>
      <c r="E26" s="272">
        <v>270486</v>
      </c>
      <c r="F26" s="273" t="s">
        <v>306</v>
      </c>
    </row>
    <row r="27" spans="1:6" ht="45.75" customHeight="1" x14ac:dyDescent="0.25">
      <c r="A27" s="94" t="s">
        <v>163</v>
      </c>
      <c r="B27" s="69" t="s">
        <v>185</v>
      </c>
      <c r="C27" s="95" t="s">
        <v>186</v>
      </c>
      <c r="D27" s="94" t="s">
        <v>132</v>
      </c>
      <c r="E27" s="272">
        <v>6</v>
      </c>
      <c r="F27" s="273">
        <v>1</v>
      </c>
    </row>
    <row r="28" spans="1:6" ht="30" customHeight="1" x14ac:dyDescent="0.25">
      <c r="A28" s="94" t="s">
        <v>163</v>
      </c>
      <c r="B28" s="69" t="s">
        <v>181</v>
      </c>
      <c r="C28" s="95" t="s">
        <v>182</v>
      </c>
      <c r="D28" s="94" t="s">
        <v>121</v>
      </c>
      <c r="E28" s="272">
        <v>138</v>
      </c>
      <c r="F28" s="273" t="s">
        <v>306</v>
      </c>
    </row>
    <row r="29" spans="1:6" ht="30" customHeight="1" x14ac:dyDescent="0.25">
      <c r="A29" s="94" t="s">
        <v>163</v>
      </c>
      <c r="B29" s="69" t="s">
        <v>187</v>
      </c>
      <c r="C29" s="95" t="s">
        <v>188</v>
      </c>
      <c r="D29" s="94" t="s">
        <v>132</v>
      </c>
      <c r="E29" s="272">
        <v>4412</v>
      </c>
      <c r="F29" s="273" t="s">
        <v>306</v>
      </c>
    </row>
    <row r="30" spans="1:6" ht="30" customHeight="1" x14ac:dyDescent="0.25">
      <c r="A30" s="94" t="s">
        <v>163</v>
      </c>
      <c r="B30" s="69" t="s">
        <v>189</v>
      </c>
      <c r="C30" s="95" t="s">
        <v>190</v>
      </c>
      <c r="D30" s="94" t="s">
        <v>132</v>
      </c>
      <c r="E30" s="272">
        <v>85</v>
      </c>
      <c r="F30" s="273" t="s">
        <v>306</v>
      </c>
    </row>
    <row r="31" spans="1:6" ht="30" customHeight="1" x14ac:dyDescent="0.25">
      <c r="A31" s="94" t="s">
        <v>163</v>
      </c>
      <c r="B31" s="69" t="s">
        <v>191</v>
      </c>
      <c r="C31" s="95" t="s">
        <v>192</v>
      </c>
      <c r="D31" s="94" t="s">
        <v>132</v>
      </c>
      <c r="E31" s="272">
        <v>11268</v>
      </c>
      <c r="F31" s="273">
        <v>72</v>
      </c>
    </row>
    <row r="32" spans="1:6" ht="30" customHeight="1" x14ac:dyDescent="0.25">
      <c r="A32" s="94" t="s">
        <v>163</v>
      </c>
      <c r="B32" s="69" t="s">
        <v>193</v>
      </c>
      <c r="C32" s="95" t="s">
        <v>194</v>
      </c>
      <c r="D32" s="94" t="s">
        <v>132</v>
      </c>
      <c r="E32" s="272">
        <v>417</v>
      </c>
      <c r="F32" s="273" t="s">
        <v>306</v>
      </c>
    </row>
    <row r="33" spans="1:6" ht="30" customHeight="1" x14ac:dyDescent="0.25">
      <c r="A33" s="94" t="s">
        <v>163</v>
      </c>
      <c r="B33" s="69" t="s">
        <v>195</v>
      </c>
      <c r="C33" s="95" t="s">
        <v>196</v>
      </c>
      <c r="D33" s="94" t="s">
        <v>121</v>
      </c>
      <c r="E33" s="272">
        <v>2442</v>
      </c>
      <c r="F33" s="273" t="s">
        <v>306</v>
      </c>
    </row>
    <row r="34" spans="1:6" ht="30" customHeight="1" x14ac:dyDescent="0.25">
      <c r="A34" s="94" t="s">
        <v>163</v>
      </c>
      <c r="B34" s="69" t="s">
        <v>197</v>
      </c>
      <c r="C34" s="95" t="s">
        <v>198</v>
      </c>
      <c r="D34" s="94" t="s">
        <v>132</v>
      </c>
      <c r="E34" s="272">
        <v>3</v>
      </c>
      <c r="F34" s="273" t="s">
        <v>306</v>
      </c>
    </row>
    <row r="35" spans="1:6" ht="30" customHeight="1" x14ac:dyDescent="0.25">
      <c r="A35" s="94" t="s">
        <v>163</v>
      </c>
      <c r="B35" s="69" t="s">
        <v>199</v>
      </c>
      <c r="C35" s="95" t="s">
        <v>200</v>
      </c>
      <c r="D35" s="94" t="s">
        <v>132</v>
      </c>
      <c r="E35" s="272">
        <v>47</v>
      </c>
      <c r="F35" s="273" t="s">
        <v>306</v>
      </c>
    </row>
    <row r="36" spans="1:6" ht="30" customHeight="1" x14ac:dyDescent="0.25">
      <c r="A36" s="94" t="s">
        <v>163</v>
      </c>
      <c r="B36" s="69" t="s">
        <v>211</v>
      </c>
      <c r="C36" s="95" t="s">
        <v>212</v>
      </c>
      <c r="D36" s="94" t="s">
        <v>132</v>
      </c>
      <c r="E36" s="272">
        <v>10103</v>
      </c>
      <c r="F36" s="273">
        <v>1300</v>
      </c>
    </row>
    <row r="37" spans="1:6" ht="30" customHeight="1" x14ac:dyDescent="0.25">
      <c r="A37" s="94" t="s">
        <v>163</v>
      </c>
      <c r="B37" s="69" t="s">
        <v>213</v>
      </c>
      <c r="C37" s="95" t="s">
        <v>214</v>
      </c>
      <c r="D37" s="94" t="s">
        <v>132</v>
      </c>
      <c r="E37" s="272">
        <v>93</v>
      </c>
      <c r="F37" s="273">
        <v>1</v>
      </c>
    </row>
    <row r="38" spans="1:6" ht="30" customHeight="1" x14ac:dyDescent="0.25">
      <c r="A38" s="94" t="s">
        <v>163</v>
      </c>
      <c r="B38" s="69" t="s">
        <v>215</v>
      </c>
      <c r="C38" s="95" t="s">
        <v>216</v>
      </c>
      <c r="D38" s="94" t="s">
        <v>132</v>
      </c>
      <c r="E38" s="272">
        <v>4</v>
      </c>
      <c r="F38" s="273">
        <v>1</v>
      </c>
    </row>
    <row r="39" spans="1:6" ht="30" customHeight="1" x14ac:dyDescent="0.25">
      <c r="A39" s="94" t="s">
        <v>163</v>
      </c>
      <c r="B39" s="69" t="s">
        <v>217</v>
      </c>
      <c r="C39" s="95" t="s">
        <v>218</v>
      </c>
      <c r="D39" s="94" t="s">
        <v>132</v>
      </c>
      <c r="E39" s="272">
        <v>7273.967487828133</v>
      </c>
      <c r="F39" s="273">
        <v>400</v>
      </c>
    </row>
    <row r="40" spans="1:6" ht="49.5" customHeight="1" x14ac:dyDescent="0.25">
      <c r="A40" s="94" t="s">
        <v>163</v>
      </c>
      <c r="B40" s="69" t="s">
        <v>201</v>
      </c>
      <c r="C40" s="95" t="s">
        <v>202</v>
      </c>
      <c r="D40" s="94" t="s">
        <v>132</v>
      </c>
      <c r="E40" s="272">
        <v>349.69002045621693</v>
      </c>
      <c r="F40" s="273">
        <v>33</v>
      </c>
    </row>
    <row r="41" spans="1:6" ht="30" customHeight="1" x14ac:dyDescent="0.25">
      <c r="A41" s="94" t="s">
        <v>163</v>
      </c>
      <c r="B41" s="69" t="s">
        <v>203</v>
      </c>
      <c r="C41" s="95" t="s">
        <v>204</v>
      </c>
      <c r="D41" s="94" t="s">
        <v>121</v>
      </c>
      <c r="E41" s="272">
        <v>2511932.3708009464</v>
      </c>
      <c r="F41" s="273" t="s">
        <v>306</v>
      </c>
    </row>
    <row r="42" spans="1:6" ht="30" customHeight="1" x14ac:dyDescent="0.25">
      <c r="A42" s="94" t="s">
        <v>163</v>
      </c>
      <c r="B42" s="69" t="s">
        <v>205</v>
      </c>
      <c r="C42" s="95" t="s">
        <v>206</v>
      </c>
      <c r="D42" s="94" t="s">
        <v>132</v>
      </c>
      <c r="E42" s="272">
        <v>183.66508492804272</v>
      </c>
      <c r="F42" s="273">
        <v>1</v>
      </c>
    </row>
    <row r="43" spans="1:6" ht="30" customHeight="1" x14ac:dyDescent="0.25">
      <c r="A43" s="94" t="s">
        <v>163</v>
      </c>
      <c r="B43" s="69" t="s">
        <v>207</v>
      </c>
      <c r="C43" s="95" t="s">
        <v>208</v>
      </c>
      <c r="D43" s="94" t="s">
        <v>132</v>
      </c>
      <c r="E43" s="272">
        <v>68.485285905371867</v>
      </c>
      <c r="F43" s="273">
        <v>1</v>
      </c>
    </row>
    <row r="44" spans="1:6" ht="53.25" customHeight="1" x14ac:dyDescent="0.25">
      <c r="A44" s="94" t="s">
        <v>163</v>
      </c>
      <c r="B44" s="69" t="s">
        <v>209</v>
      </c>
      <c r="C44" s="95" t="s">
        <v>210</v>
      </c>
      <c r="D44" s="94" t="s">
        <v>132</v>
      </c>
      <c r="E44" s="272">
        <v>7</v>
      </c>
      <c r="F44" s="273" t="s">
        <v>306</v>
      </c>
    </row>
    <row r="45" spans="1:6" ht="30" customHeight="1" x14ac:dyDescent="0.25">
      <c r="A45" s="94" t="s">
        <v>219</v>
      </c>
      <c r="B45" s="69" t="s">
        <v>220</v>
      </c>
      <c r="C45" s="95" t="s">
        <v>221</v>
      </c>
      <c r="D45" s="94" t="s">
        <v>132</v>
      </c>
      <c r="E45" s="272">
        <v>608</v>
      </c>
      <c r="F45" s="273" t="s">
        <v>306</v>
      </c>
    </row>
    <row r="46" spans="1:6" ht="30" customHeight="1" x14ac:dyDescent="0.25">
      <c r="A46" s="94" t="s">
        <v>219</v>
      </c>
      <c r="B46" s="69" t="s">
        <v>222</v>
      </c>
      <c r="C46" s="95" t="s">
        <v>223</v>
      </c>
      <c r="D46" s="94" t="s">
        <v>132</v>
      </c>
      <c r="E46" s="272">
        <v>62</v>
      </c>
      <c r="F46" s="273" t="s">
        <v>306</v>
      </c>
    </row>
    <row r="47" spans="1:6" ht="30" customHeight="1" x14ac:dyDescent="0.25">
      <c r="A47" s="94" t="s">
        <v>219</v>
      </c>
      <c r="B47" s="69" t="s">
        <v>224</v>
      </c>
      <c r="C47" s="95" t="s">
        <v>225</v>
      </c>
      <c r="D47" s="94" t="s">
        <v>132</v>
      </c>
      <c r="E47" s="272">
        <v>42</v>
      </c>
      <c r="F47" s="273" t="s">
        <v>306</v>
      </c>
    </row>
    <row r="48" spans="1:6" ht="30" customHeight="1" x14ac:dyDescent="0.25">
      <c r="A48" s="94" t="s">
        <v>219</v>
      </c>
      <c r="B48" s="69" t="s">
        <v>227</v>
      </c>
      <c r="C48" s="95" t="s">
        <v>228</v>
      </c>
      <c r="D48" s="94" t="s">
        <v>132</v>
      </c>
      <c r="E48" s="272">
        <v>125</v>
      </c>
      <c r="F48" s="273" t="s">
        <v>306</v>
      </c>
    </row>
    <row r="49" spans="1:8" ht="30" customHeight="1" x14ac:dyDescent="0.25">
      <c r="A49" s="94" t="s">
        <v>219</v>
      </c>
      <c r="B49" s="69" t="s">
        <v>161</v>
      </c>
      <c r="C49" s="95" t="s">
        <v>162</v>
      </c>
      <c r="D49" s="94" t="s">
        <v>132</v>
      </c>
      <c r="E49" s="272">
        <v>5</v>
      </c>
      <c r="F49" s="273" t="s">
        <v>306</v>
      </c>
      <c r="G49" s="73"/>
      <c r="H49" s="73"/>
    </row>
    <row r="50" spans="1:8" s="73" customFormat="1" x14ac:dyDescent="0.25">
      <c r="G50"/>
      <c r="H50"/>
    </row>
    <row r="51" spans="1:8" hidden="1" x14ac:dyDescent="0.25"/>
    <row r="52" spans="1:8" hidden="1" x14ac:dyDescent="0.25"/>
    <row r="53" spans="1:8" hidden="1" x14ac:dyDescent="0.25"/>
    <row r="54" spans="1:8" hidden="1" x14ac:dyDescent="0.25"/>
    <row r="55" spans="1:8" hidden="1" x14ac:dyDescent="0.25"/>
    <row r="56" spans="1:8" hidden="1" x14ac:dyDescent="0.25"/>
    <row r="57" spans="1:8" hidden="1" x14ac:dyDescent="0.25"/>
    <row r="58" spans="1:8" hidden="1" x14ac:dyDescent="0.25"/>
    <row r="59" spans="1:8" hidden="1" x14ac:dyDescent="0.25"/>
    <row r="60" spans="1:8" hidden="1" x14ac:dyDescent="0.25"/>
    <row r="61" spans="1:8" hidden="1" x14ac:dyDescent="0.25"/>
    <row r="62" spans="1:8" hidden="1" x14ac:dyDescent="0.25"/>
    <row r="63" spans="1:8" hidden="1" x14ac:dyDescent="0.25"/>
    <row r="64" spans="1:8" hidden="1" x14ac:dyDescent="0.25"/>
    <row r="65" hidden="1" x14ac:dyDescent="0.25"/>
    <row r="66" hidden="1" x14ac:dyDescent="0.25"/>
    <row r="67" hidden="1" x14ac:dyDescent="0.25"/>
    <row r="68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</sheetData>
  <mergeCells count="6">
    <mergeCell ref="F2:F3"/>
    <mergeCell ref="B1:C1"/>
    <mergeCell ref="A2:A3"/>
    <mergeCell ref="B2:C2"/>
    <mergeCell ref="D2:D3"/>
    <mergeCell ref="E2:E3"/>
  </mergeCells>
  <pageMargins left="0.70866141732283472" right="0.70866141732283472" top="0.74803149606299213" bottom="0.74803149606299213" header="0.31496062992125984" footer="0.31496062992125984"/>
  <pageSetup paperSize="8" scale="84" fitToHeight="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126"/>
  <sheetViews>
    <sheetView zoomScale="90" zoomScaleNormal="90" workbookViewId="0">
      <selection activeCell="E7" sqref="E7"/>
    </sheetView>
  </sheetViews>
  <sheetFormatPr defaultColWidth="0" defaultRowHeight="15" customHeight="1" zeroHeight="1" x14ac:dyDescent="0.25"/>
  <cols>
    <col min="1" max="1" width="16.28515625" bestFit="1" customWidth="1"/>
    <col min="2" max="2" width="9.85546875" bestFit="1" customWidth="1"/>
    <col min="3" max="3" width="58" customWidth="1"/>
    <col min="4" max="4" width="13.85546875" bestFit="1" customWidth="1"/>
    <col min="5" max="5" width="15" bestFit="1" customWidth="1"/>
    <col min="6" max="6" width="15" customWidth="1"/>
    <col min="7" max="7" width="13.140625" bestFit="1" customWidth="1"/>
    <col min="8" max="8" width="13.28515625" customWidth="1"/>
    <col min="9" max="9" width="5.42578125" style="73" customWidth="1"/>
    <col min="10" max="10" width="9.140625" hidden="1" customWidth="1"/>
    <col min="11" max="16384" width="9.140625" hidden="1"/>
  </cols>
  <sheetData>
    <row r="1" spans="1:6" ht="15" customHeight="1" x14ac:dyDescent="0.25">
      <c r="B1" s="257" t="s">
        <v>308</v>
      </c>
      <c r="C1" s="257"/>
    </row>
    <row r="2" spans="1:6" ht="27" customHeight="1" x14ac:dyDescent="0.25">
      <c r="A2" s="253" t="s">
        <v>104</v>
      </c>
      <c r="B2" s="254" t="s">
        <v>105</v>
      </c>
      <c r="C2" s="254"/>
      <c r="D2" s="254" t="s">
        <v>106</v>
      </c>
      <c r="E2" s="254" t="s">
        <v>110</v>
      </c>
      <c r="F2" s="252" t="s">
        <v>303</v>
      </c>
    </row>
    <row r="3" spans="1:6" ht="30.75" customHeight="1" x14ac:dyDescent="0.25">
      <c r="A3" s="253"/>
      <c r="B3" s="93" t="s">
        <v>113</v>
      </c>
      <c r="C3" s="93" t="s">
        <v>114</v>
      </c>
      <c r="D3" s="254"/>
      <c r="E3" s="254"/>
      <c r="F3" s="252"/>
    </row>
    <row r="4" spans="1:6" ht="30" customHeight="1" x14ac:dyDescent="0.25">
      <c r="A4" s="94" t="s">
        <v>115</v>
      </c>
      <c r="B4" s="69" t="s">
        <v>231</v>
      </c>
      <c r="C4" s="100" t="s">
        <v>232</v>
      </c>
      <c r="D4" s="94" t="s">
        <v>121</v>
      </c>
      <c r="E4" s="272">
        <v>2363543</v>
      </c>
      <c r="F4" s="273">
        <v>32000</v>
      </c>
    </row>
    <row r="5" spans="1:6" ht="30" customHeight="1" x14ac:dyDescent="0.25">
      <c r="A5" s="94" t="s">
        <v>115</v>
      </c>
      <c r="B5" s="69" t="s">
        <v>233</v>
      </c>
      <c r="C5" s="100" t="s">
        <v>234</v>
      </c>
      <c r="D5" s="94" t="s">
        <v>132</v>
      </c>
      <c r="E5" s="272">
        <v>42</v>
      </c>
      <c r="F5" s="273">
        <v>1</v>
      </c>
    </row>
    <row r="6" spans="1:6" ht="30" customHeight="1" x14ac:dyDescent="0.25">
      <c r="A6" s="94" t="s">
        <v>115</v>
      </c>
      <c r="B6" s="69" t="s">
        <v>116</v>
      </c>
      <c r="C6" s="95" t="s">
        <v>117</v>
      </c>
      <c r="D6" s="94" t="s">
        <v>118</v>
      </c>
      <c r="E6" s="274">
        <v>26.34</v>
      </c>
      <c r="F6" s="273">
        <v>1E-3</v>
      </c>
    </row>
    <row r="7" spans="1:6" ht="30" customHeight="1" x14ac:dyDescent="0.25">
      <c r="A7" s="94" t="s">
        <v>115</v>
      </c>
      <c r="B7" s="69" t="s">
        <v>145</v>
      </c>
      <c r="C7" s="95" t="s">
        <v>146</v>
      </c>
      <c r="D7" s="97" t="s">
        <v>124</v>
      </c>
      <c r="E7" s="274">
        <v>110.57</v>
      </c>
      <c r="F7" s="273">
        <v>0.2</v>
      </c>
    </row>
    <row r="8" spans="1:6" ht="30" customHeight="1" x14ac:dyDescent="0.25">
      <c r="A8" s="94" t="s">
        <v>115</v>
      </c>
      <c r="B8" s="69" t="s">
        <v>122</v>
      </c>
      <c r="C8" s="95" t="s">
        <v>123</v>
      </c>
      <c r="D8" s="94" t="s">
        <v>124</v>
      </c>
      <c r="E8" s="274">
        <v>324.58</v>
      </c>
      <c r="F8" s="273">
        <v>0.24</v>
      </c>
    </row>
    <row r="9" spans="1:6" ht="30" customHeight="1" x14ac:dyDescent="0.25">
      <c r="A9" s="94" t="s">
        <v>115</v>
      </c>
      <c r="B9" s="69" t="s">
        <v>125</v>
      </c>
      <c r="C9" s="95" t="s">
        <v>126</v>
      </c>
      <c r="D9" s="94" t="s">
        <v>127</v>
      </c>
      <c r="E9" s="272">
        <v>884363</v>
      </c>
      <c r="F9" s="273" t="s">
        <v>306</v>
      </c>
    </row>
    <row r="10" spans="1:6" ht="30" customHeight="1" x14ac:dyDescent="0.25">
      <c r="A10" s="94" t="s">
        <v>115</v>
      </c>
      <c r="B10" s="186" t="s">
        <v>128</v>
      </c>
      <c r="C10" s="187" t="s">
        <v>129</v>
      </c>
      <c r="D10" s="188" t="s">
        <v>118</v>
      </c>
      <c r="E10" s="274" t="s">
        <v>327</v>
      </c>
      <c r="F10" s="274" t="s">
        <v>327</v>
      </c>
    </row>
    <row r="11" spans="1:6" ht="30" customHeight="1" x14ac:dyDescent="0.25">
      <c r="A11" s="94" t="s">
        <v>115</v>
      </c>
      <c r="B11" s="69" t="s">
        <v>130</v>
      </c>
      <c r="C11" s="95" t="s">
        <v>131</v>
      </c>
      <c r="D11" s="94" t="s">
        <v>132</v>
      </c>
      <c r="E11" s="272">
        <v>27</v>
      </c>
      <c r="F11" s="273" t="s">
        <v>306</v>
      </c>
    </row>
    <row r="12" spans="1:6" ht="30" customHeight="1" x14ac:dyDescent="0.25">
      <c r="A12" s="94" t="s">
        <v>115</v>
      </c>
      <c r="B12" s="69" t="s">
        <v>133</v>
      </c>
      <c r="C12" s="95" t="s">
        <v>134</v>
      </c>
      <c r="D12" s="94" t="s">
        <v>135</v>
      </c>
      <c r="E12" s="272">
        <v>151870</v>
      </c>
      <c r="F12" s="273">
        <v>400</v>
      </c>
    </row>
    <row r="13" spans="1:6" ht="30" customHeight="1" x14ac:dyDescent="0.25">
      <c r="A13" s="94" t="s">
        <v>115</v>
      </c>
      <c r="B13" s="186" t="s">
        <v>138</v>
      </c>
      <c r="C13" s="187" t="s">
        <v>139</v>
      </c>
      <c r="D13" s="188" t="s">
        <v>140</v>
      </c>
      <c r="E13" s="274" t="s">
        <v>327</v>
      </c>
      <c r="F13" s="274" t="s">
        <v>327</v>
      </c>
    </row>
    <row r="14" spans="1:6" ht="30" customHeight="1" x14ac:dyDescent="0.25">
      <c r="A14" s="94" t="s">
        <v>115</v>
      </c>
      <c r="B14" s="69" t="s">
        <v>119</v>
      </c>
      <c r="C14" s="95" t="s">
        <v>120</v>
      </c>
      <c r="D14" s="94" t="s">
        <v>121</v>
      </c>
      <c r="E14" s="272">
        <v>91723</v>
      </c>
      <c r="F14" s="273" t="s">
        <v>306</v>
      </c>
    </row>
    <row r="15" spans="1:6" ht="30" customHeight="1" x14ac:dyDescent="0.25">
      <c r="A15" s="94" t="s">
        <v>115</v>
      </c>
      <c r="B15" s="69" t="s">
        <v>141</v>
      </c>
      <c r="C15" s="95" t="s">
        <v>142</v>
      </c>
      <c r="D15" s="94" t="s">
        <v>121</v>
      </c>
      <c r="E15" s="272">
        <v>338</v>
      </c>
      <c r="F15" s="273" t="s">
        <v>306</v>
      </c>
    </row>
    <row r="16" spans="1:6" ht="30" customHeight="1" x14ac:dyDescent="0.25">
      <c r="A16" s="94" t="s">
        <v>115</v>
      </c>
      <c r="B16" s="69" t="s">
        <v>143</v>
      </c>
      <c r="C16" s="95" t="s">
        <v>144</v>
      </c>
      <c r="D16" s="97" t="s">
        <v>121</v>
      </c>
      <c r="E16" s="272">
        <v>124</v>
      </c>
      <c r="F16" s="273">
        <v>2</v>
      </c>
    </row>
    <row r="17" spans="1:6" ht="30" customHeight="1" x14ac:dyDescent="0.25">
      <c r="A17" s="94" t="s">
        <v>147</v>
      </c>
      <c r="B17" s="69" t="s">
        <v>148</v>
      </c>
      <c r="C17" s="95" t="s">
        <v>149</v>
      </c>
      <c r="D17" s="94" t="s">
        <v>135</v>
      </c>
      <c r="E17" s="274">
        <v>163599.63839143701</v>
      </c>
      <c r="F17" s="273">
        <v>5200</v>
      </c>
    </row>
    <row r="18" spans="1:6" ht="30" customHeight="1" x14ac:dyDescent="0.25">
      <c r="A18" s="94" t="s">
        <v>147</v>
      </c>
      <c r="B18" s="69" t="s">
        <v>150</v>
      </c>
      <c r="C18" s="95" t="s">
        <v>151</v>
      </c>
      <c r="D18" s="94" t="s">
        <v>152</v>
      </c>
      <c r="E18" s="274">
        <v>24539.752435449216</v>
      </c>
      <c r="F18" s="273">
        <v>369</v>
      </c>
    </row>
    <row r="19" spans="1:6" ht="30" customHeight="1" x14ac:dyDescent="0.25">
      <c r="A19" s="94" t="s">
        <v>147</v>
      </c>
      <c r="B19" s="69" t="s">
        <v>153</v>
      </c>
      <c r="C19" s="95" t="s">
        <v>304</v>
      </c>
      <c r="D19" s="94" t="s">
        <v>155</v>
      </c>
      <c r="E19" s="274">
        <v>9325.2113745250681</v>
      </c>
      <c r="F19" s="273">
        <v>219.7</v>
      </c>
    </row>
    <row r="20" spans="1:6" ht="30" customHeight="1" x14ac:dyDescent="0.25">
      <c r="A20" s="94" t="s">
        <v>147</v>
      </c>
      <c r="B20" s="69" t="s">
        <v>156</v>
      </c>
      <c r="C20" s="95" t="s">
        <v>157</v>
      </c>
      <c r="D20" s="94" t="s">
        <v>158</v>
      </c>
      <c r="E20" s="274">
        <v>7.5413648714826751</v>
      </c>
      <c r="F20" s="273">
        <v>83</v>
      </c>
    </row>
    <row r="21" spans="1:6" ht="30" customHeight="1" x14ac:dyDescent="0.25">
      <c r="A21" s="94" t="s">
        <v>147</v>
      </c>
      <c r="B21" s="69" t="s">
        <v>159</v>
      </c>
      <c r="C21" s="95" t="s">
        <v>160</v>
      </c>
      <c r="D21" s="94" t="s">
        <v>152</v>
      </c>
      <c r="E21" s="274">
        <v>8295.3256102069972</v>
      </c>
      <c r="F21" s="273" t="s">
        <v>306</v>
      </c>
    </row>
    <row r="22" spans="1:6" ht="30" customHeight="1" x14ac:dyDescent="0.25">
      <c r="A22" s="94" t="s">
        <v>147</v>
      </c>
      <c r="B22" s="69" t="s">
        <v>161</v>
      </c>
      <c r="C22" s="95" t="s">
        <v>162</v>
      </c>
      <c r="D22" s="94" t="s">
        <v>132</v>
      </c>
      <c r="E22" s="265">
        <v>5.2724527183519045</v>
      </c>
      <c r="F22" s="273" t="s">
        <v>306</v>
      </c>
    </row>
    <row r="23" spans="1:6" ht="30" customHeight="1" x14ac:dyDescent="0.25">
      <c r="A23" s="94" t="s">
        <v>163</v>
      </c>
      <c r="B23" s="69" t="s">
        <v>175</v>
      </c>
      <c r="C23" s="95" t="s">
        <v>176</v>
      </c>
      <c r="D23" s="94" t="s">
        <v>132</v>
      </c>
      <c r="E23" s="272">
        <v>333</v>
      </c>
      <c r="F23" s="273">
        <v>7</v>
      </c>
    </row>
    <row r="24" spans="1:6" ht="30" customHeight="1" x14ac:dyDescent="0.25">
      <c r="A24" s="94" t="s">
        <v>163</v>
      </c>
      <c r="B24" s="69" t="s">
        <v>183</v>
      </c>
      <c r="C24" s="95" t="s">
        <v>184</v>
      </c>
      <c r="D24" s="94" t="s">
        <v>132</v>
      </c>
      <c r="E24" s="272">
        <v>46</v>
      </c>
      <c r="F24" s="273" t="s">
        <v>306</v>
      </c>
    </row>
    <row r="25" spans="1:6" ht="30" customHeight="1" x14ac:dyDescent="0.25">
      <c r="A25" s="94" t="s">
        <v>163</v>
      </c>
      <c r="B25" s="69" t="s">
        <v>177</v>
      </c>
      <c r="C25" s="95" t="s">
        <v>178</v>
      </c>
      <c r="D25" s="94" t="s">
        <v>132</v>
      </c>
      <c r="E25" s="272">
        <v>46</v>
      </c>
      <c r="F25" s="273" t="s">
        <v>306</v>
      </c>
    </row>
    <row r="26" spans="1:6" ht="30" customHeight="1" x14ac:dyDescent="0.25">
      <c r="A26" s="94" t="s">
        <v>163</v>
      </c>
      <c r="B26" s="69" t="s">
        <v>179</v>
      </c>
      <c r="C26" s="95" t="s">
        <v>180</v>
      </c>
      <c r="D26" s="94" t="s">
        <v>121</v>
      </c>
      <c r="E26" s="272">
        <v>270486</v>
      </c>
      <c r="F26" s="273">
        <v>70</v>
      </c>
    </row>
    <row r="27" spans="1:6" ht="45.75" customHeight="1" x14ac:dyDescent="0.25">
      <c r="A27" s="94" t="s">
        <v>163</v>
      </c>
      <c r="B27" s="69" t="s">
        <v>185</v>
      </c>
      <c r="C27" s="95" t="s">
        <v>186</v>
      </c>
      <c r="D27" s="94" t="s">
        <v>132</v>
      </c>
      <c r="E27" s="272">
        <v>6</v>
      </c>
      <c r="F27" s="273" t="s">
        <v>306</v>
      </c>
    </row>
    <row r="28" spans="1:6" ht="30" customHeight="1" x14ac:dyDescent="0.25">
      <c r="A28" s="94" t="s">
        <v>163</v>
      </c>
      <c r="B28" s="69" t="s">
        <v>181</v>
      </c>
      <c r="C28" s="95" t="s">
        <v>182</v>
      </c>
      <c r="D28" s="94" t="s">
        <v>121</v>
      </c>
      <c r="E28" s="272">
        <v>138</v>
      </c>
      <c r="F28" s="273" t="s">
        <v>306</v>
      </c>
    </row>
    <row r="29" spans="1:6" ht="30" customHeight="1" x14ac:dyDescent="0.25">
      <c r="A29" s="94" t="s">
        <v>163</v>
      </c>
      <c r="B29" s="69" t="s">
        <v>187</v>
      </c>
      <c r="C29" s="95" t="s">
        <v>188</v>
      </c>
      <c r="D29" s="94" t="s">
        <v>132</v>
      </c>
      <c r="E29" s="272">
        <v>4412</v>
      </c>
      <c r="F29" s="273">
        <v>84</v>
      </c>
    </row>
    <row r="30" spans="1:6" ht="30" customHeight="1" x14ac:dyDescent="0.25">
      <c r="A30" s="94" t="s">
        <v>163</v>
      </c>
      <c r="B30" s="69" t="s">
        <v>189</v>
      </c>
      <c r="C30" s="95" t="s">
        <v>190</v>
      </c>
      <c r="D30" s="94" t="s">
        <v>132</v>
      </c>
      <c r="E30" s="272">
        <v>85</v>
      </c>
      <c r="F30" s="273" t="s">
        <v>306</v>
      </c>
    </row>
    <row r="31" spans="1:6" ht="30" customHeight="1" x14ac:dyDescent="0.25">
      <c r="A31" s="94" t="s">
        <v>163</v>
      </c>
      <c r="B31" s="69" t="s">
        <v>191</v>
      </c>
      <c r="C31" s="95" t="s">
        <v>192</v>
      </c>
      <c r="D31" s="94" t="s">
        <v>132</v>
      </c>
      <c r="E31" s="272">
        <v>11268</v>
      </c>
      <c r="F31" s="273">
        <v>200</v>
      </c>
    </row>
    <row r="32" spans="1:6" ht="30" customHeight="1" x14ac:dyDescent="0.25">
      <c r="A32" s="94" t="s">
        <v>163</v>
      </c>
      <c r="B32" s="69" t="s">
        <v>193</v>
      </c>
      <c r="C32" s="95" t="s">
        <v>194</v>
      </c>
      <c r="D32" s="94" t="s">
        <v>132</v>
      </c>
      <c r="E32" s="272">
        <v>417</v>
      </c>
      <c r="F32" s="273" t="s">
        <v>306</v>
      </c>
    </row>
    <row r="33" spans="1:6" ht="30" customHeight="1" x14ac:dyDescent="0.25">
      <c r="A33" s="94" t="s">
        <v>163</v>
      </c>
      <c r="B33" s="69" t="s">
        <v>195</v>
      </c>
      <c r="C33" s="95" t="s">
        <v>196</v>
      </c>
      <c r="D33" s="94" t="s">
        <v>121</v>
      </c>
      <c r="E33" s="272">
        <v>2442</v>
      </c>
      <c r="F33" s="273" t="s">
        <v>306</v>
      </c>
    </row>
    <row r="34" spans="1:6" ht="30" customHeight="1" x14ac:dyDescent="0.25">
      <c r="A34" s="94" t="s">
        <v>163</v>
      </c>
      <c r="B34" s="69" t="s">
        <v>197</v>
      </c>
      <c r="C34" s="95" t="s">
        <v>198</v>
      </c>
      <c r="D34" s="94" t="s">
        <v>132</v>
      </c>
      <c r="E34" s="272">
        <v>3</v>
      </c>
      <c r="F34" s="273" t="s">
        <v>306</v>
      </c>
    </row>
    <row r="35" spans="1:6" ht="30" customHeight="1" x14ac:dyDescent="0.25">
      <c r="A35" s="94" t="s">
        <v>163</v>
      </c>
      <c r="B35" s="69" t="s">
        <v>199</v>
      </c>
      <c r="C35" s="95" t="s">
        <v>200</v>
      </c>
      <c r="D35" s="94" t="s">
        <v>132</v>
      </c>
      <c r="E35" s="272">
        <v>47</v>
      </c>
      <c r="F35" s="273" t="s">
        <v>306</v>
      </c>
    </row>
    <row r="36" spans="1:6" ht="30" customHeight="1" x14ac:dyDescent="0.25">
      <c r="A36" s="94" t="s">
        <v>163</v>
      </c>
      <c r="B36" s="69" t="s">
        <v>211</v>
      </c>
      <c r="C36" s="95" t="s">
        <v>212</v>
      </c>
      <c r="D36" s="94" t="s">
        <v>132</v>
      </c>
      <c r="E36" s="272">
        <v>10103</v>
      </c>
      <c r="F36" s="273" t="s">
        <v>306</v>
      </c>
    </row>
    <row r="37" spans="1:6" ht="30" customHeight="1" x14ac:dyDescent="0.25">
      <c r="A37" s="94" t="s">
        <v>163</v>
      </c>
      <c r="B37" s="69" t="s">
        <v>213</v>
      </c>
      <c r="C37" s="95" t="s">
        <v>214</v>
      </c>
      <c r="D37" s="94" t="s">
        <v>132</v>
      </c>
      <c r="E37" s="272">
        <v>93</v>
      </c>
      <c r="F37" s="273">
        <v>1</v>
      </c>
    </row>
    <row r="38" spans="1:6" ht="30" customHeight="1" x14ac:dyDescent="0.25">
      <c r="A38" s="94" t="s">
        <v>163</v>
      </c>
      <c r="B38" s="69" t="s">
        <v>215</v>
      </c>
      <c r="C38" s="95" t="s">
        <v>216</v>
      </c>
      <c r="D38" s="94" t="s">
        <v>132</v>
      </c>
      <c r="E38" s="272">
        <v>4</v>
      </c>
      <c r="F38" s="273" t="s">
        <v>306</v>
      </c>
    </row>
    <row r="39" spans="1:6" ht="30" customHeight="1" x14ac:dyDescent="0.25">
      <c r="A39" s="94" t="s">
        <v>163</v>
      </c>
      <c r="B39" s="69" t="s">
        <v>217</v>
      </c>
      <c r="C39" s="95" t="s">
        <v>218</v>
      </c>
      <c r="D39" s="94" t="s">
        <v>132</v>
      </c>
      <c r="E39" s="272">
        <v>7273.967487828133</v>
      </c>
      <c r="F39" s="273" t="s">
        <v>306</v>
      </c>
    </row>
    <row r="40" spans="1:6" ht="49.5" customHeight="1" x14ac:dyDescent="0.25">
      <c r="A40" s="94" t="s">
        <v>163</v>
      </c>
      <c r="B40" s="69" t="s">
        <v>201</v>
      </c>
      <c r="C40" s="95" t="s">
        <v>202</v>
      </c>
      <c r="D40" s="94" t="s">
        <v>132</v>
      </c>
      <c r="E40" s="272">
        <v>349.69002045621693</v>
      </c>
      <c r="F40" s="273" t="s">
        <v>306</v>
      </c>
    </row>
    <row r="41" spans="1:6" ht="30" customHeight="1" x14ac:dyDescent="0.25">
      <c r="A41" s="94" t="s">
        <v>163</v>
      </c>
      <c r="B41" s="69" t="s">
        <v>203</v>
      </c>
      <c r="C41" s="95" t="s">
        <v>204</v>
      </c>
      <c r="D41" s="94" t="s">
        <v>121</v>
      </c>
      <c r="E41" s="272">
        <v>2511932.3708009464</v>
      </c>
      <c r="F41" s="273" t="s">
        <v>306</v>
      </c>
    </row>
    <row r="42" spans="1:6" ht="30" customHeight="1" x14ac:dyDescent="0.25">
      <c r="A42" s="94" t="s">
        <v>163</v>
      </c>
      <c r="B42" s="69" t="s">
        <v>205</v>
      </c>
      <c r="C42" s="95" t="s">
        <v>206</v>
      </c>
      <c r="D42" s="94" t="s">
        <v>132</v>
      </c>
      <c r="E42" s="272">
        <v>183.66508492804272</v>
      </c>
      <c r="F42" s="273">
        <v>1</v>
      </c>
    </row>
    <row r="43" spans="1:6" ht="30" customHeight="1" x14ac:dyDescent="0.25">
      <c r="A43" s="94" t="s">
        <v>163</v>
      </c>
      <c r="B43" s="69" t="s">
        <v>207</v>
      </c>
      <c r="C43" s="95" t="s">
        <v>208</v>
      </c>
      <c r="D43" s="94" t="s">
        <v>132</v>
      </c>
      <c r="E43" s="272">
        <v>68.485285905371867</v>
      </c>
      <c r="F43" s="273" t="s">
        <v>306</v>
      </c>
    </row>
    <row r="44" spans="1:6" ht="53.25" customHeight="1" x14ac:dyDescent="0.25">
      <c r="A44" s="94" t="s">
        <v>163</v>
      </c>
      <c r="B44" s="69" t="s">
        <v>209</v>
      </c>
      <c r="C44" s="95" t="s">
        <v>210</v>
      </c>
      <c r="D44" s="94" t="s">
        <v>132</v>
      </c>
      <c r="E44" s="272">
        <v>7</v>
      </c>
      <c r="F44" s="273" t="s">
        <v>306</v>
      </c>
    </row>
    <row r="45" spans="1:6" ht="30" customHeight="1" x14ac:dyDescent="0.25">
      <c r="A45" s="94" t="s">
        <v>219</v>
      </c>
      <c r="B45" s="69" t="s">
        <v>220</v>
      </c>
      <c r="C45" s="95" t="s">
        <v>221</v>
      </c>
      <c r="D45" s="94" t="s">
        <v>132</v>
      </c>
      <c r="E45" s="272">
        <v>608</v>
      </c>
      <c r="F45" s="273">
        <v>1</v>
      </c>
    </row>
    <row r="46" spans="1:6" ht="30" customHeight="1" x14ac:dyDescent="0.25">
      <c r="A46" s="94" t="s">
        <v>219</v>
      </c>
      <c r="B46" s="69" t="s">
        <v>222</v>
      </c>
      <c r="C46" s="95" t="s">
        <v>223</v>
      </c>
      <c r="D46" s="94" t="s">
        <v>132</v>
      </c>
      <c r="E46" s="272">
        <v>62</v>
      </c>
      <c r="F46" s="273" t="s">
        <v>306</v>
      </c>
    </row>
    <row r="47" spans="1:6" ht="30" customHeight="1" x14ac:dyDescent="0.25">
      <c r="A47" s="94" t="s">
        <v>219</v>
      </c>
      <c r="B47" s="69" t="s">
        <v>224</v>
      </c>
      <c r="C47" s="95" t="s">
        <v>225</v>
      </c>
      <c r="D47" s="94" t="s">
        <v>132</v>
      </c>
      <c r="E47" s="272">
        <v>42</v>
      </c>
      <c r="F47" s="273" t="s">
        <v>306</v>
      </c>
    </row>
    <row r="48" spans="1:6" ht="30" customHeight="1" x14ac:dyDescent="0.25">
      <c r="A48" s="94" t="s">
        <v>219</v>
      </c>
      <c r="B48" s="69" t="s">
        <v>227</v>
      </c>
      <c r="C48" s="95" t="s">
        <v>228</v>
      </c>
      <c r="D48" s="94" t="s">
        <v>132</v>
      </c>
      <c r="E48" s="272">
        <v>125</v>
      </c>
      <c r="F48" s="273" t="s">
        <v>306</v>
      </c>
    </row>
    <row r="49" spans="1:8" ht="30" customHeight="1" x14ac:dyDescent="0.25">
      <c r="A49" s="94" t="s">
        <v>219</v>
      </c>
      <c r="B49" s="69" t="s">
        <v>161</v>
      </c>
      <c r="C49" s="95" t="s">
        <v>162</v>
      </c>
      <c r="D49" s="94" t="s">
        <v>132</v>
      </c>
      <c r="E49" s="272">
        <v>5</v>
      </c>
      <c r="F49" s="273" t="s">
        <v>306</v>
      </c>
      <c r="G49" s="73"/>
      <c r="H49" s="73"/>
    </row>
    <row r="50" spans="1:8" s="73" customFormat="1" x14ac:dyDescent="0.25">
      <c r="G50"/>
      <c r="H50"/>
    </row>
    <row r="51" spans="1:8" hidden="1" x14ac:dyDescent="0.25"/>
    <row r="52" spans="1:8" hidden="1" x14ac:dyDescent="0.25"/>
    <row r="53" spans="1:8" hidden="1" x14ac:dyDescent="0.25"/>
    <row r="54" spans="1:8" hidden="1" x14ac:dyDescent="0.25"/>
    <row r="55" spans="1:8" hidden="1" x14ac:dyDescent="0.25"/>
    <row r="56" spans="1:8" hidden="1" x14ac:dyDescent="0.25"/>
    <row r="57" spans="1:8" hidden="1" x14ac:dyDescent="0.25"/>
    <row r="58" spans="1:8" hidden="1" x14ac:dyDescent="0.25"/>
    <row r="59" spans="1:8" hidden="1" x14ac:dyDescent="0.25"/>
    <row r="60" spans="1:8" hidden="1" x14ac:dyDescent="0.25"/>
    <row r="61" spans="1:8" hidden="1" x14ac:dyDescent="0.25"/>
    <row r="62" spans="1:8" hidden="1" x14ac:dyDescent="0.25"/>
    <row r="63" spans="1:8" hidden="1" x14ac:dyDescent="0.25"/>
    <row r="64" spans="1:8" hidden="1" x14ac:dyDescent="0.25"/>
    <row r="65" hidden="1" x14ac:dyDescent="0.25"/>
    <row r="66" hidden="1" x14ac:dyDescent="0.25"/>
    <row r="67" hidden="1" x14ac:dyDescent="0.25"/>
    <row r="68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</sheetData>
  <mergeCells count="6">
    <mergeCell ref="F2:F3"/>
    <mergeCell ref="B1:C1"/>
    <mergeCell ref="A2:A3"/>
    <mergeCell ref="B2:C2"/>
    <mergeCell ref="D2:D3"/>
    <mergeCell ref="E2:E3"/>
  </mergeCells>
  <pageMargins left="0.70866141732283472" right="0.70866141732283472" top="0.74803149606299213" bottom="0.74803149606299213" header="0.31496062992125984" footer="0.31496062992125984"/>
  <pageSetup paperSize="8" scale="84" fitToHeight="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98AD6C777FC1164197AFF0DB8C4E3968" ma:contentTypeVersion="18" ma:contentTypeDescription="Új dokumentum létrehozása." ma:contentTypeScope="" ma:versionID="9742006ed09fcd2d811d21a63e34b048">
  <xsd:schema xmlns:xsd="http://www.w3.org/2001/XMLSchema" xmlns:xs="http://www.w3.org/2001/XMLSchema" xmlns:p="http://schemas.microsoft.com/office/2006/metadata/properties" xmlns:ns2="0e37964a-f847-47b1-b7d0-74c72425aff6" xmlns:ns3="27c670eb-9a0a-4858-ade0-397d64dc7674" targetNamespace="http://schemas.microsoft.com/office/2006/metadata/properties" ma:root="true" ma:fieldsID="b478ce3cdc317faa309a10af2bda9632" ns2:_="" ns3:_="">
    <xsd:import namespace="0e37964a-f847-47b1-b7d0-74c72425aff6"/>
    <xsd:import namespace="27c670eb-9a0a-4858-ade0-397d64dc76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37964a-f847-47b1-b7d0-74c72425af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Képcímkék" ma:readOnly="false" ma:fieldId="{5cf76f15-5ced-4ddc-b409-7134ff3c332f}" ma:taxonomyMulti="true" ma:sspId="d5182f71-946f-4ea8-b8db-553dc8eab2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c670eb-9a0a-4858-ade0-397d64dc7674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9dd224fb-2ef0-4e86-8620-3b318046ad25}" ma:internalName="TaxCatchAll" ma:showField="CatchAllData" ma:web="27c670eb-9a0a-4858-ade0-397d64dc76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37964a-f847-47b1-b7d0-74c72425aff6">
      <Terms xmlns="http://schemas.microsoft.com/office/infopath/2007/PartnerControls"/>
    </lcf76f155ced4ddcb4097134ff3c332f>
    <TaxCatchAll xmlns="27c670eb-9a0a-4858-ade0-397d64dc7674" xsi:nil="true"/>
  </documentManagement>
</p:properties>
</file>

<file path=customXml/itemProps1.xml><?xml version="1.0" encoding="utf-8"?>
<ds:datastoreItem xmlns:ds="http://schemas.openxmlformats.org/officeDocument/2006/customXml" ds:itemID="{AE472B3A-DA69-4B14-949C-0D274C489D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A00396-DA1A-465F-88E8-89BED2CD6D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37964a-f847-47b1-b7d0-74c72425aff6"/>
    <ds:schemaRef ds:uri="27c670eb-9a0a-4858-ade0-397d64dc76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A129F2-683C-450E-AA9B-B9F24FFC1008}">
  <ds:schemaRefs>
    <ds:schemaRef ds:uri="http://purl.org/dc/elements/1.1/"/>
    <ds:schemaRef ds:uri="http://schemas.microsoft.com/office/2006/documentManagement/types"/>
    <ds:schemaRef ds:uri="http://purl.org/dc/dcmitype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27c670eb-9a0a-4858-ade0-397d64dc7674"/>
    <ds:schemaRef ds:uri="0e37964a-f847-47b1-b7d0-74c72425aff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7</vt:i4>
      </vt:variant>
    </vt:vector>
  </HeadingPairs>
  <TitlesOfParts>
    <vt:vector size="18" baseType="lpstr">
      <vt:lpstr>1. forrasösszesítő</vt:lpstr>
      <vt:lpstr>2. forrásösszesítő-FVS</vt:lpstr>
      <vt:lpstr>3. forrásösszesítő LHH</vt:lpstr>
      <vt:lpstr>4. intézkedések</vt:lpstr>
      <vt:lpstr>5. Településdifferenciálás</vt:lpstr>
      <vt:lpstr>6. Indikátor - vármegye (2)</vt:lpstr>
      <vt:lpstr>7. Indikátor - Győr</vt:lpstr>
      <vt:lpstr>7. Indikátor - Sopron</vt:lpstr>
      <vt:lpstr>7. Indikátor - Mosonmagyaróvár</vt:lpstr>
      <vt:lpstr> 8. ütemezés</vt:lpstr>
      <vt:lpstr>Munka1</vt:lpstr>
      <vt:lpstr>' 8. ütemezés'!Nyomtatási_cím</vt:lpstr>
      <vt:lpstr>'1. forrasösszesítő'!Nyomtatási_cím</vt:lpstr>
      <vt:lpstr>'6. Indikátor - vármegye (2)'!Nyomtatási_cím</vt:lpstr>
      <vt:lpstr>'7. Indikátor - Győr'!Nyomtatási_cím</vt:lpstr>
      <vt:lpstr>'7. Indikátor - Mosonmagyaróvár'!Nyomtatási_cím</vt:lpstr>
      <vt:lpstr>'7. Indikátor - Sopron'!Nyomtatási_cím</vt:lpstr>
      <vt:lpstr>' 8. ütemezés'!Nyomtatási_terület</vt:lpstr>
    </vt:vector>
  </TitlesOfParts>
  <Company>KD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Nagyváradi Tímea</dc:creator>
  <cp:lastModifiedBy>Funtek Milán</cp:lastModifiedBy>
  <cp:lastPrinted>2026-02-06T09:44:55Z</cp:lastPrinted>
  <dcterms:created xsi:type="dcterms:W3CDTF">2021-01-05T10:29:48Z</dcterms:created>
  <dcterms:modified xsi:type="dcterms:W3CDTF">2026-02-11T11:06:05Z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0x01010098AD6C777FC1164197AFF0DB8C4E3968</vt:lpwstr>
  </property>
  <property fmtid="{D5CDD505-2E9C-101B-9397-08002B2CF9AE}" pid="3" name="MediaServiceImageTags">
    <vt:lpwstr/>
  </property>
</Properties>
</file>